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建工工作\2025\4.向阳村、四塘村党建中心\11、机电（自营）\"/>
    </mc:Choice>
  </mc:AlternateContent>
  <bookViews>
    <workbookView windowWidth="28800" windowHeight="12255" tabRatio="527" firstSheet="3" activeTab="3"/>
  </bookViews>
  <sheets>
    <sheet name="主体" sheetId="11" state="hidden" r:id="rId1"/>
    <sheet name="室外工程及消防工程" sheetId="12" state="hidden" r:id="rId2"/>
    <sheet name="电气及给排水、暖通专业分包工程" sheetId="13" state="hidden" r:id="rId3"/>
    <sheet name="专业分包工程" sheetId="14" r:id="rId4"/>
    <sheet name="Sheet1" sheetId="18" r:id="rId5"/>
    <sheet name="高压电缆进线工程" sheetId="17" state="hidden" r:id="rId6"/>
    <sheet name="计算式" sheetId="16" state="hidden" r:id="rId7"/>
  </sheets>
  <definedNames>
    <definedName name="_xlnm.Print_Titles" localSheetId="0">主体!$1:$5</definedName>
    <definedName name="_xlnm.Print_Area" localSheetId="0">主体!$A$1:$AG$55</definedName>
    <definedName name="_xlnm.Print_Titles" localSheetId="1">室外工程及消防工程!$1:$4</definedName>
    <definedName name="_xlnm.Print_Area" localSheetId="1">室外工程及消防工程!$A$1:$J$12</definedName>
    <definedName name="_xlnm.Print_Titles" localSheetId="2">电气及给排水、暖通专业分包工程!$1:$4</definedName>
    <definedName name="_xlnm.Print_Area" localSheetId="2">电气及给排水、暖通专业分包工程!$A$1:$J$12</definedName>
    <definedName name="_xlnm.Print_Titles" localSheetId="3">专业分包工程!$1:$4</definedName>
    <definedName name="_xlnm.Print_Area" localSheetId="3">专业分包工程!$A$1:$L$10</definedName>
    <definedName name="_xlnm.Print_Titles" localSheetId="5">高压电缆进线工程!$1:$4</definedName>
    <definedName name="_xlnm.Print_Area" localSheetId="5">高压电缆进线工程!$A$1:$J$12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<sst xmlns="http://schemas.openxmlformats.org/spreadsheetml/2006/main" count="365" uniqueCount="205">
  <si>
    <t>劳务分包工程招标控制价审批表</t>
  </si>
  <si>
    <t>项目名称：金琴健康港项目-3#~6#高层厂房主体劳务分包工程</t>
  </si>
  <si>
    <t>序号</t>
  </si>
  <si>
    <t>项目名称</t>
  </si>
  <si>
    <t>工作内容及价格说明</t>
  </si>
  <si>
    <t>工程计算规则</t>
  </si>
  <si>
    <t>单位</t>
  </si>
  <si>
    <t>暂定
工程量</t>
  </si>
  <si>
    <t>广东吴川建筑安装工程有限公司</t>
  </si>
  <si>
    <t>安联绿创（珠海）智能科技有限公司</t>
  </si>
  <si>
    <t>珠海志达伟业建筑工程有限公司</t>
  </si>
  <si>
    <t xml:space="preserve">广东三穗建筑工程有限公司      </t>
  </si>
  <si>
    <t xml:space="preserve">广东恒建源工程有限公司 </t>
  </si>
  <si>
    <t>广东确跃建设工程有限公司</t>
  </si>
  <si>
    <t>珠海市建川建筑工程劳务分包有限公司</t>
  </si>
  <si>
    <t>广东安信建设有限公司</t>
  </si>
  <si>
    <t>中山市昊迪建筑劳务有限公司</t>
  </si>
  <si>
    <t>中山市瑞丰建筑工程劳务分包有限公司</t>
  </si>
  <si>
    <t>分包价</t>
  </si>
  <si>
    <t>对甲预计收入（分包水平）</t>
  </si>
  <si>
    <t>招标控制价</t>
  </si>
  <si>
    <t>黄明华 15989867928</t>
  </si>
  <si>
    <t>周小刚 15072352983</t>
  </si>
  <si>
    <t>欧伟明 13631230163</t>
  </si>
  <si>
    <t xml:space="preserve">李淼侠13750068883    </t>
  </si>
  <si>
    <t>周春茂
13544944221</t>
  </si>
  <si>
    <t>吴树强 13570682111</t>
  </si>
  <si>
    <t>张仕富 13702575368</t>
  </si>
  <si>
    <t>聂总 13500247298</t>
  </si>
  <si>
    <t>涂小华 1392813168</t>
  </si>
  <si>
    <t>谢礼平 13322907998</t>
  </si>
  <si>
    <t>不含钢筋、混凝土、钢板、水电，</t>
  </si>
  <si>
    <t>不含税单价
（元）</t>
  </si>
  <si>
    <t>不含税合价
（元）</t>
  </si>
  <si>
    <t>不含税单价
（元）下浮前</t>
  </si>
  <si>
    <t>备注</t>
  </si>
  <si>
    <t>一</t>
  </si>
  <si>
    <t>砌筑、抹灰及模板工程</t>
  </si>
  <si>
    <t>砌筑抹灰工程</t>
  </si>
  <si>
    <t>基础砖砌及砖胎膜</t>
  </si>
  <si>
    <t>1、砌砖种类：MU20灰砂砖/水泥砖；
2、采用M7.5水泥砂浆砌筑；
3、具体详图纸要求做法；
4、除塔吊外，综合单价含垂直及水平运输机械费用。</t>
  </si>
  <si>
    <t>1、按实际砌筑工程量以体积计算</t>
  </si>
  <si>
    <t>m3</t>
  </si>
  <si>
    <t>1、砌砖种类：蒸压加气混凝土砌块(强度不低于5Mpa)；
2、采用M7.5水泥砂浆砌筑；
3、具体详图纸要求做法；
4、除塔吊外，综合单价含垂直及水平运输机械费用。</t>
  </si>
  <si>
    <t>砖胎模抹灰</t>
  </si>
  <si>
    <t>1、砖胎模抹灰砂浆抹灰；
2、抹灰厚度、砂浆配合比按图纸要求；
3、具体详图纸要求做法；
4、除塔吊外，综合单价含垂直及水平运输机械费用。</t>
  </si>
  <si>
    <t>1、按实际砖胎模抹灰面积计算</t>
  </si>
  <si>
    <t>m2</t>
  </si>
  <si>
    <t>模板工程</t>
  </si>
  <si>
    <t>±0.00以下基础模板工程（无地下室）</t>
  </si>
  <si>
    <r>
      <rPr>
        <sz val="9"/>
        <color rgb="FF000000"/>
        <rFont val="宋体"/>
        <charset val="134"/>
      </rPr>
      <t>1、完成承包范围内图示所有梁板柱剪力墙等主体结构、设计与主体结构一起浇捣的反边反梁、设备基础的模板制作安装、拆除工作（含止水螺杆的打凿及切割、除锈、起钉、清理、按甲方要求分类堆放好，做到工完场清）；
3、承包方式：完成上述模板工程所需的所有人工、模板、木方、模板支撑体系、辅材（止水螺杆、对拉螺杆</t>
    </r>
    <r>
      <rPr>
        <sz val="9"/>
        <color rgb="FFFF0000"/>
        <rFont val="宋体"/>
        <charset val="134"/>
      </rPr>
      <t>(带止水片)</t>
    </r>
    <r>
      <rPr>
        <sz val="9"/>
        <color rgb="FF000000"/>
        <rFont val="宋体"/>
        <charset val="134"/>
      </rPr>
      <t>、铁钉、铁线、步步紧、脱模剂等材料、所有孔洞的预留预埋及穿墙套管等材料费）、</t>
    </r>
    <r>
      <rPr>
        <sz val="9"/>
        <color rgb="FFFF0000"/>
        <rFont val="宋体"/>
        <charset val="134"/>
      </rPr>
      <t>止水条(板)制作安装、对拉螺栓眼处附加防水、对拉螺栓外露部分刷防锈漆、堵洞及堵洞所需材料费</t>
    </r>
    <r>
      <rPr>
        <sz val="9"/>
        <color rgb="FF000000"/>
        <rFont val="宋体"/>
        <charset val="134"/>
      </rPr>
      <t>及机具（除垂直运输机械以外的所有机具，含场地运输机具）；
4、本单价已考虑地下室梁板模板拆模后须达到免抹灰要求，如未达到需打磨的则扣减打磨费(打磨费则按打磨面积扣减6元/m2）,如需移交精装修单位装修的需达到甲方移交要求；
5、本单价已综合考虑层高及材料二次转运费，施工方案及高支模专家论证方案模板安拆施工难度等；
6、单价含结构预留吊洞、传料口、泵管洞、放线洞口等主体结构预留施工措施洞口封堵；
7</t>
    </r>
    <r>
      <rPr>
        <sz val="9"/>
        <color rgb="FFFF0000"/>
        <rFont val="宋体"/>
        <charset val="134"/>
      </rPr>
      <t>、关于±0.00以上、以下的划分说明：有地下室的按地下室顶板面标高划分，若没有地下室的按室内地坪标高划分，有隔层的算入地下室。
8、如中途退场，模板未拆除部分则按展开面积12元/m2扣除；如已搭设架体未装模板，则不计算。</t>
    </r>
  </si>
  <si>
    <t>1、按混凝土与模板的接触面积计算。小于0.3（不含0.3）m2的洞口不扣除，洞口侧边也不增加工程量；
2、垫层模板及后浇带模板的二次制作及安拆不另计算。</t>
  </si>
  <si>
    <t>㎡</t>
  </si>
  <si>
    <t>±0.00以上模板制安（层高≤5米）
（含架体搭拆）</t>
  </si>
  <si>
    <t>±0.00以上模板制安（5米＜层高≤7米）
（不含架体搭拆）</t>
  </si>
  <si>
    <t>±0.00以上模板制安（7米＜层高≤9米）
（不含架体搭拆）</t>
  </si>
  <si>
    <t>±0.00以上模板制安（9米＜层高≤11米）
（不含架体搭拆）</t>
  </si>
  <si>
    <t>搭拆高支模架（盘扣式）</t>
  </si>
  <si>
    <t>搭拆高支模架（5米＜高度≤7米）</t>
  </si>
  <si>
    <t>1、含上、下托，盘扣钢管架支撑体系等搭拆
2、承包方式为包整个模板支撑体系全费用综合单价承包模式；
3、综合单价包括搭拆人工、材料租赁费、损耗、材料进出场运输费、材料检测试验费、装卸费、保管、损失风险、材料分类堆码、场地清理、文明施工费、管理费、利润、措施费、规费、税金等全部费用
4、综合单价综合考虑层高、材料二次转运费、工期、施工方案及高支模专家论证方案支模架搭拆施工难度等。</t>
  </si>
  <si>
    <t>1、按实际架体搭拆高度乘以架体服务模板水平投影面积以体积计算。</t>
  </si>
  <si>
    <t>搭拆高支模架（7米＜高度≤9米）</t>
  </si>
  <si>
    <t>搭拆高支模架（9米＜高度≤11米）</t>
  </si>
  <si>
    <t>搭拆高支模架（钢管式）</t>
  </si>
  <si>
    <t>1、含上、下托，钢管架体支撑体系（含扣件）等搭拆；
2、承包方式为包整个模板支撑体系全费用综合单价承包模式；
3、综合单价包括搭拆人工、材料租赁费、损耗、材料进出场运输费、材料检测试验费、装卸费、保管、损失风险、材料分类堆码、场地清理、文明施工费、管理费、利润、措施费、规费、税金等全部费用
4、综合单价综合考虑层高、材料二次转运费、工期、施工方案及高支模专家论证方案支模架搭拆施工难度等。</t>
  </si>
  <si>
    <t>不含税小计</t>
  </si>
  <si>
    <t>税率</t>
  </si>
  <si>
    <t>含税小计</t>
  </si>
  <si>
    <t>二</t>
  </si>
  <si>
    <t>钢筋、混凝土工程</t>
  </si>
  <si>
    <t>钢筋工程</t>
  </si>
  <si>
    <t>±0.00以下钢筋工程（含基础）</t>
  </si>
  <si>
    <r>
      <rPr>
        <sz val="9"/>
        <color rgb="FF000000"/>
        <rFont val="宋体"/>
        <charset val="134"/>
      </rPr>
      <t>1、工程量计算规则以设计图纸按2013国标清单计算规则以吨计算（不考虑损耗率）；
2、本单价包括但不限于所有梁板柱剪力墙等主体结构、设计与主体结构一同的反边反梁的制作安装、二次构件制作(如未制作二次构件钢筋，</t>
    </r>
    <r>
      <rPr>
        <sz val="9"/>
        <color rgb="FFFF0000"/>
        <rFont val="宋体"/>
        <charset val="134"/>
      </rPr>
      <t>按建筑面积以1.5元/m2扣减</t>
    </r>
    <r>
      <rPr>
        <sz val="9"/>
        <color rgb="FF000000"/>
        <rFont val="宋体"/>
        <charset val="134"/>
      </rPr>
      <t>）、墙体拉结筋开料、预埋钢筋制作（外架（工字钢的U型箍及钢丝绳拉环）、塔吊、人货梯、井架、悬挑槽钢等需要预埋的钢筋）、钢筋垫块（成品预制垫块）、扎线（全部满扎）、电焊、配合甲方钢筋加工区的多次转移（机械甲供）、配合机电预埋加强筋及防开裂增设钢筋网片制安、拦截不同标号混凝土的快易收口网制安（含快易收口网材料费）、检测用的钢筋下料及套筒连接含钢筋切平头（不平需打磨）、其它辅材及全部钢筋机具费用；
3、单价中制作按35%，绑扎65%计算；钢筋必须满扎，否则按20元/吨扣减；
4、单价含结构预留吊洞、传料口、泵管洞、放线洞口等主体结构预留施工措施洞口封堵；
5</t>
    </r>
    <r>
      <rPr>
        <sz val="9"/>
        <color rgb="FFFF0000"/>
        <rFont val="宋体"/>
        <charset val="134"/>
      </rPr>
      <t>、关于±0.00以上、以下的划分说明：有地下室的按地下室顶板面标高划分，若没有地下室的按室内地坪标高划分,有隔层的算入地下室。</t>
    </r>
  </si>
  <si>
    <t>1、工程量以设计图纸按2013国标清单计算规则以吨计算（不考虑损耗率）
2、以一次结构计算工程量，二次结构开料不计算工程量</t>
  </si>
  <si>
    <t>T</t>
  </si>
  <si>
    <t>±0.00以上钢筋工程</t>
  </si>
  <si>
    <t>1、工程量以设计图纸按2013国标清单计算规则以吨计算（不考虑损耗率）
2、2、以一次结构计算工程量，二次结构开料不计算工程量</t>
  </si>
  <si>
    <t>Φ25及以下直螺纹套筒连接（包套筒、包车丝、包安装）</t>
  </si>
  <si>
    <t>单价含接头材料及送检取样等</t>
  </si>
  <si>
    <t>按实际施工接头以个数计算</t>
  </si>
  <si>
    <t>个</t>
  </si>
  <si>
    <t>Φ25以上直螺纹套筒连接（包套筒、包车丝、包安装）</t>
  </si>
  <si>
    <t>电渣压力焊（包工包机械、包焊剂）</t>
  </si>
  <si>
    <t>桩头插筋制安（含焊钢板）</t>
  </si>
  <si>
    <t>含焊条材料等辅材、制安人工、机械切割、加工等机具使用费等</t>
  </si>
  <si>
    <t>按实际完成的工程量以吨计算</t>
  </si>
  <si>
    <t>后浇带止水钢板制安(含快易收口网绑扎）</t>
  </si>
  <si>
    <t>含快易收口网材料、焊条材料等辅材、安装人工、机械切割、加工等机具使用费等</t>
  </si>
  <si>
    <t>按实际安装止水钢板延长米计算</t>
  </si>
  <si>
    <t>m</t>
  </si>
  <si>
    <t>止水橡胶（带）制安</t>
  </si>
  <si>
    <t>含安装人工、辅材、小型机具使用费等</t>
  </si>
  <si>
    <t>按制安止水橡胶（带）延长米计算</t>
  </si>
  <si>
    <t>混凝土工程</t>
  </si>
  <si>
    <t>±0.00以下混凝土工程（含基础）</t>
  </si>
  <si>
    <r>
      <rPr>
        <sz val="9"/>
        <color rgb="FFFF0000"/>
        <rFont val="宋体"/>
        <charset val="134"/>
      </rPr>
      <t>1、完成承包范围内图示所有除二次构件外的砼搅拌和浇筑，含穿楼板套管的预留预埋、混凝土泵送管的安拆、混凝土料车的卸料；
2、该单价包括运料、基层清理整平、砼浇筑、砼振捣、养护（含塑料薄膜）、找平、场地清理、沉箱结构试水、后浇带打凿及清理等全部工作；如果混凝土浇筑没有使用平板振动器及覆盖薄膜，则按建筑面积以1元/m2扣减；</t>
    </r>
    <r>
      <rPr>
        <sz val="9"/>
        <color rgb="FF000000"/>
        <rFont val="宋体"/>
        <charset val="134"/>
      </rPr>
      <t xml:space="preserve">
3、综合单价包含已含输送管道及配件的场内转运、堆码、安拆、加固、清理、清洗、维护，布料机的安拆及配合维修更换配件组装，每项、每层段工序砼浇捣所需临时操作平台和通道的搭设，浇捣前杂物清理，模板湿润，堵柱角、墙角、梁窝的清理，后浇带砼浇筑前剔除浮浆及露出石子和接浆处理，混凝土初凝前磨光机二次收面，施工缝处理，</t>
    </r>
    <r>
      <rPr>
        <sz val="9"/>
        <rFont val="宋体"/>
        <charset val="134"/>
      </rPr>
      <t>配合制作砼试件及场地运输</t>
    </r>
    <r>
      <rPr>
        <sz val="9"/>
        <color rgb="FF000000"/>
        <rFont val="宋体"/>
        <charset val="134"/>
      </rPr>
      <t>，拆模后的清理、清洗、凿毛、打磨、处理混凝土结构混凝土质量缺陷等一切混凝土浇捣工序，不再另行计算费用。</t>
    </r>
    <r>
      <rPr>
        <sz val="9"/>
        <color rgb="FFFF0000"/>
        <rFont val="宋体"/>
        <charset val="134"/>
      </rPr>
      <t xml:space="preserve">
4、单价包含地下室挡土墙脚一次结构成型的圆弧R护角；
5、单价包含洗泵管所需的引流导管的安装、拆除；</t>
    </r>
    <r>
      <rPr>
        <sz val="9"/>
        <color rgb="FF000000"/>
        <rFont val="宋体"/>
        <charset val="134"/>
      </rPr>
      <t xml:space="preserve">
6、含底板、承台等砼浇捣前的抽水（抽水设备甲供）、清理及清洗；
7、单价包含但不限于以下机械及辅材：振动、平板振动器、养护用所有辅材；
8、单价含结构预留吊洞、传料口、泵管洞、放线洞口等主体结构预留施工措施洞口封堵；
9、关于±0.00以上、以下的划分说明：有地下室的按地下室顶板面标高划分，若没有地下室的按室内地坪标高划分，有隔层的算入地下室。</t>
    </r>
  </si>
  <si>
    <t>1、按图示体积计算。</t>
  </si>
  <si>
    <t>±0.00以上混凝土混凝土工程</t>
  </si>
  <si>
    <t>±0.00以下基础砼垫层</t>
  </si>
  <si>
    <t>1、清理基层、平整基底、铺砼、抹平、压实、压光、按要求设置分隔缝等；
2、综合考虑图示要求垫层厚度。
3、如因部分场地原因无法使用机械运料，单价已综合考虑该部分人工或人机配合场内运输。</t>
  </si>
  <si>
    <t>按图示尺寸以实铺面积计算</t>
  </si>
  <si>
    <t>预制混凝土管桩桩顶封砼</t>
  </si>
  <si>
    <t>1、包括综合人工、机械、人机配合运料，预制混凝土管桩桩心的清孔，浇捣桩心砼，砼振捣，养护，场地清理等；
2、含但不限于以下机械及辅材：振动，养护用所有辅材等。</t>
  </si>
  <si>
    <t>按图示尺寸以实际浇筑体积计算</t>
  </si>
  <si>
    <t>三</t>
  </si>
  <si>
    <t>安全文明施工措施费</t>
  </si>
  <si>
    <t>安全文明施工措施费
（主体结构阶段）</t>
  </si>
  <si>
    <r>
      <rPr>
        <sz val="9"/>
        <color rgb="FF000000"/>
        <rFont val="宋体"/>
        <charset val="134"/>
      </rPr>
      <t>一、安全文明施工费包括但不限于：</t>
    </r>
    <r>
      <rPr>
        <sz val="9"/>
        <color rgb="FFFF0000"/>
        <rFont val="宋体"/>
        <charset val="134"/>
      </rPr>
      <t xml:space="preserve">
1、捣试件用工、拆除地泵台及设备基础，建筑垃圾运至甲方指定地点等；</t>
    </r>
    <r>
      <rPr>
        <sz val="9"/>
        <color rgb="FF000000"/>
        <rFont val="宋体"/>
        <charset val="134"/>
      </rPr>
      <t xml:space="preserve">
2、协助电工拉设电线、清理、保洁、维护、保养费用，负责二级箱以后电缆及电箱的费用及维护；
3、施工过程中的施工道路、施工场地的清理、清洁，例如：拆模板后第一次清理场地，过水泥砂浆前清理地面，基坑、沟槽的整理，垫层面和基础面的清理；
4、安全网维护（即修理及恢复劳务破坏的安全网）；
5、清理排栅施工平桥、排栅脚、吊笼底、吊笼棚等；
6、清理、安拆砂浆机(抹灰和砌砖单价已包含该项内容，现场管理人员应督促其完成)；
7、砌筑及拆除砼存放池、废料池、外架排水沟（含日常使用过程中清理保持通畅）、钢筋堆放场基础等，建筑垃圾运至甲方指定地点；
8、加工棚、材料堆放区、钢筋棚及门前路至楼栋入口等的场地硬化及使用后破拆除，建筑垃圾运至甲方指定地点；
9、清理工地仓库、砼存放池、废料池；
10、清理材料、杂物、垃圾、项目内的防扬尘洒水、覆盖等；
11、安全检查前、验收前及验收后砌体及粗装饰进场前的场地清理；
12、</t>
    </r>
    <r>
      <rPr>
        <sz val="9"/>
        <color rgb="FFFF0000"/>
        <rFont val="宋体"/>
        <charset val="134"/>
      </rPr>
      <t>整理铁场碎旧钢筋及调直、木工加工场清理等</t>
    </r>
    <r>
      <rPr>
        <sz val="9"/>
        <color rgb="FF000000"/>
        <rFont val="宋体"/>
        <charset val="134"/>
      </rPr>
      <t>；
13、</t>
    </r>
    <r>
      <rPr>
        <sz val="9"/>
        <color rgb="FFFF0000"/>
        <rFont val="宋体"/>
        <charset val="134"/>
      </rPr>
      <t>排栅脚铺石粉或浇筑砼垫层</t>
    </r>
    <r>
      <rPr>
        <sz val="9"/>
        <color rgb="FF000000"/>
        <rFont val="宋体"/>
        <charset val="134"/>
      </rPr>
      <t>；
14、含施工区内的CI的悬挂、维护（外架单位负责架体上面CI悬挂，其它部位CI由劳务负责悬挂）；
16、</t>
    </r>
    <r>
      <rPr>
        <sz val="9"/>
        <color rgb="FFFF0000"/>
        <rFont val="宋体"/>
        <charset val="134"/>
      </rPr>
      <t>临口临边</t>
    </r>
    <r>
      <rPr>
        <sz val="9"/>
        <color rgb="FF000000"/>
        <rFont val="宋体"/>
        <charset val="134"/>
      </rPr>
      <t>(包括但不限于楼梯边（钢筋或排栅管护栏）、结构电梯井口水平防护、预留洞口、通道口、楼层周边、楼梯侧边、平台或阳台边、屋面周边)防护含油漆、结构电梯门等洞口防护含油漆（如不做临口临边及油漆按按洞口面积25元/m2扣减（其中油漆3.5元/m2），不安拆制作电梯等洞口防护门按50元/张扣减）、短边尺寸&lt;1500mm洞口防护（采用φ6@150mm单层双向钢筋作为防护网,网格间距≤200mm，在混凝土浇筑前预设于模板内，如需悬挂安全网，需进行安全网悬挂（甲方提供材料，乙方负责安装））；
17、</t>
    </r>
    <r>
      <rPr>
        <sz val="9"/>
        <color rgb="FFFF0000"/>
        <rFont val="宋体"/>
        <charset val="134"/>
      </rPr>
      <t>材料物品的中转搬运</t>
    </r>
    <r>
      <rPr>
        <sz val="9"/>
        <color rgb="FF000000"/>
        <rFont val="宋体"/>
        <charset val="134"/>
      </rPr>
      <t xml:space="preserve">（项目场地内）、清理、分类堆放、隔离、垫、盖保护、标识、消防器材等；
18、室内挡脚板制作安拆及扫油漆；
19、现场、基础抽排水、清疏场地积水等所有符合安全文明施工定义的全部工作；
20、配合工程验收、检查、检测用工；
21、后浇筑带洞口防护：后浇带上用模板全封闭隔离，两侧设砂浆挡水坎,挡水坎应平直美观，板面刷警示；
22、成品保护，不限于墙柱阳角、楼梯阳角、地面水电甩头套圈保护、混凝土浇筑完成后的成品保护等。
成品保护等。
</t>
    </r>
    <r>
      <rPr>
        <sz val="9"/>
        <color theme="4" tint="-0.25"/>
        <rFont val="宋体"/>
        <charset val="134"/>
      </rPr>
      <t>23、主楼内外防护由乙方施工。如采用非定型化搭设，则由乙方提供材料及制作、安装、维护及拆除；如甲方要求采用定型化材料，则由第三方单位提供定型化材料及安装的指导，乙方负责安装、维护、拆除及定型化以外的材料（如钢管材料等），费用不另计取。</t>
    </r>
  </si>
  <si>
    <t>（主体结构部分劳务直接费）*费率；</t>
  </si>
  <si>
    <t>项</t>
  </si>
  <si>
    <t>四</t>
  </si>
  <si>
    <t>一+二+三合计（含税）</t>
  </si>
  <si>
    <t>说明：
1、序号（一~四）承包模式为全费用综合单价承包模式，全费用综合包干单价包含人工费（含涨价风险）、材料费（含涨价风险）、周转材租赁费、损耗、运输费辅材费（铁钉、保温钉、云石胶、植筋胶、扎线、胶篾等其他零星辅材）、保管、损失风险、损耗、工器具使用费、材料卸车费、二次运输费、材料进出场、吊笼维护费、管理费、利润、保险费及其他项目费；
2、序号（五~六）承包模式为劳务清包模式，单价包含人工费（含涨价风险）、辅材费（铁钉、保温钉、云石胶、植筋胶、扎线、胶篾等其他零星辅材）、工器具使用费、材料卸车费、二次运输费、吊笼维护费、管理费、利润、保险费及其他项目费；
3、序号七为本工程安全文明施工措施费，承包模式按固定费率包干方式，固定包干费率包含人工费（含涨价风险）、材料费（本清单项材料费指除了共公部分外消防器材（按甲方施工文明施工需求提供）、防护用模板、油漆、洞口防护安全网）、辅材费（铁钉、保温钉、云石胶、植筋胶、扎线、胶篾等其他零星辅材）、工器具使用费、材料卸车费、二次运输费、吊笼维护费、管理费、利润、保险费及其他项目费等完成本工程所需的安全文明施工内容；
4、乙方负责工器具主要包括但不限于斗车、小型拖拉机、水管、扫把、灰斗、铲、镐、风镐、介机、介片、冲击钻、锯机、楼面磨浆机、凿、锤、锹、振笔、振板、砂浆机、钢筋切断机、钢筋弯曲机、电焊机、砼播料机及其它小型施工机具用具等完成本工程所需的所有工器具，费用包含在综合单价内；
5、墙柱模板需采用黑模板，木方需采用5cm*10cm截面尺寸的材料；
6、乙方施工场地必须做到工完场清，所有用砂工程均含筛砂工序工艺；
6、本工程项目安全文明施工要求确保市安全生产文明施工样板工地；
7、本工程项目质量要求争创省优质工程，确保市优质工程；
8、工人生活区板房按200元每间每月交纳住宿费，铁架床及空调由乙方负责，每间住宿人数不低于6人，户内电费挂表按实计取，水费及公共区电费按15元/人/月标准计取，卫生费及宿舍区保安费用按30元/人/月标准计取，费用在当月进度款中扣除；
9、乙方必须配合甲方现场管理人员现场管理及安全文明施工，且必须配备专职现场管理人员、专职安全管理人员、专职劳资管理人员，不允许兼职方式；
10、乙方需根据甲方要求自行安排塔吊指挥人员，费用已包含在综合单价中，甲方不另行安排；
11、乙方必须按投标期工料机投入计划表进行生产资源的投入；
12、涉及方案专家论证的，费用由乙方负责；
13、本工程的安责险、工伤保险及工程一切险，由甲方代缴，在乙方进度款中转扣；
14、本工程工期约112天：开工日期为 2022 年 7 月 11 日，具体以甲方书面通知为准；完工日期为 2022 年 10 月 31 日，实际完工工期按招标人及发包人的进度要求执行。
15、如发生合同以外签证工程，合同有类似单价的，参照合同单价执行；合同无类似单价的，按照定额下浮25%计取。
16、本工程施工中不因任何因素调整单价
17、本工程已包含2%安全文明施工费，进度款申报时，乙方需提供金额对等的安全文明施工费发票，否则不予支付进度款</t>
  </si>
  <si>
    <t>部门意见：</t>
  </si>
  <si>
    <t>分管领导意见：</t>
  </si>
  <si>
    <t>室外工程及消防安装专业分包工程-控制价审批表</t>
  </si>
  <si>
    <t>项目名称：珠海隧道工程应急救援管理中心和绿化标-室外工程及消防专业分包工程</t>
  </si>
  <si>
    <t>工作内容及说明</t>
  </si>
  <si>
    <t>工程数量</t>
  </si>
  <si>
    <t>暂定总承包室外工程及消防专业分包工程不含税总造价</t>
  </si>
  <si>
    <t>控制价</t>
  </si>
  <si>
    <t>总包中标基础上的下浮百分率（%）</t>
  </si>
  <si>
    <t>室外工程、消防工程（包含室内消火栓系统、室外消火栓系统、火灾自动报警系统、电气火灾监控系统、道路工程、围墙工程、海绵设施、其他工程）安装专业分包工程</t>
  </si>
  <si>
    <t>1、珠海隧道工程应急救援管理中心和绿化标室外工程及消防（包含室内消火栓系统、室外消火栓系统、火灾自动报警系统、电气火灾监控系统、道路工程、围墙工程、海绵设施、其他工程）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16、其余未尽事宜详见总包合同。</t>
  </si>
  <si>
    <t>按《珠海隧道工程应急救援管理中心和绿化标施工合同》室外工程及消防专业分包工程最终结算总金额=《珠海隧道工程应急救援管理中心和绿化标施工合同》对应施工内容结算总造价*（1-总包中标基础上的下浮百分率）</t>
  </si>
  <si>
    <t>元</t>
  </si>
  <si>
    <r>
      <rPr>
        <b/>
        <sz val="10"/>
        <rFont val="宋体"/>
        <charset val="134"/>
        <scheme val="minor"/>
      </rPr>
      <t>备注：</t>
    </r>
    <r>
      <rPr>
        <sz val="10"/>
        <rFont val="宋体"/>
        <charset val="134"/>
        <scheme val="minor"/>
      </rPr>
      <t xml:space="preserve">
1、乙方施工场地必须做到工完场清；
2、本工程项目安全文明施工要求：应按照建设单位及珠海市政府相关部门规定做好文明施工，施工现场符合《珠海市扬尘污染防治管理办法》的规定，并按有关规定做好围蔽工作；
3、本工程项目质量要求：配合主体争创国家优质工程奖。综合单价已包含所有费用；
4、工人生活区板房按200元每间每月交纳住宿费，铁架床及空调由乙方负责，每间住宿人数不低于6人，户内电费挂表按实计取，水费及公共区电费按15元/人/月标准计取，卫生费及宿舍区保安费用按30元/人/月标准计取，费用在当月进度款中扣除；
5、乙方必须配合甲方现场管理人员现场管理及安全文明施工，且必须配备专职现场管理人员、专职安全管理人员、专职劳资管理人员，管理人员数量配备须满足甲方需求，不允许兼职方式；
6、本工程已包含3%安全文明施工费（合同含税金额的3%），进度款申报时，乙方需提供金额对等的安全文明施工费发票，否则不予支付进度款。
7、履约保证金比例：合同金额的5%且不超80万，详细请见合同条款。
8、乙方需开具税率9%的增值税专用发票。
9、暂定总承包分部分项不含税总造价为项目整体的暂定金额，不作为结算依据；乙方须服从甲方分配的标段界面施工且综合考虑甲方划分的施工范围界面、量差、周转等一切风险因素，结算时总包中标基础上的下浮百分率不作调整。
</t>
    </r>
  </si>
  <si>
    <t>经办人：</t>
  </si>
  <si>
    <t>机电工程专业分包-控制价审批表</t>
  </si>
  <si>
    <t>项目名称：珠海隧道工程应急救援管理中心和绿化标-机电工程专业分包</t>
  </si>
  <si>
    <t>暂定总承包电气及给排水、暖通、高压电缆进线专业分包工程不含税总造价</t>
  </si>
  <si>
    <t>电气及给排水、暖通工程（包含电气工程（除电气火灾监控系统外）、室内外给排水、暖通工程）安装专业分包工程</t>
  </si>
  <si>
    <r>
      <rPr>
        <sz val="9"/>
        <rFont val="宋体"/>
        <charset val="134"/>
      </rPr>
      <t>1、珠海隧道工程应急救援管理中心和绿化标电气及给排水、暖通（包含电气工程（除电气火灾监控系统外）、室内外给排水、暖通工程）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t>
    </r>
    <r>
      <rPr>
        <sz val="9"/>
        <color rgb="FFFF0000"/>
        <rFont val="宋体"/>
        <charset val="134"/>
      </rPr>
      <t>高压电缆进线工程目前属于暂估价部分，需乙方按建设单位及甲方要求由指定接驳点将线路接入甲方要求地点，</t>
    </r>
    <r>
      <rPr>
        <sz val="9"/>
        <color theme="4"/>
        <rFont val="宋体"/>
        <charset val="134"/>
      </rPr>
      <t>该项工作内容已包含并满足现场临时用电的要求，费用已综合考虑；</t>
    </r>
    <r>
      <rPr>
        <sz val="9"/>
        <color rgb="FFFF0000"/>
        <rFont val="宋体"/>
        <charset val="134"/>
      </rPr>
      <t>乙方报价需自行考虑包括完成</t>
    </r>
    <r>
      <rPr>
        <sz val="9"/>
        <color theme="4"/>
        <rFont val="宋体"/>
        <charset val="134"/>
      </rPr>
      <t>永久、临时用电</t>
    </r>
    <r>
      <rPr>
        <sz val="9"/>
        <color rgb="FFFF0000"/>
        <rFont val="宋体"/>
        <charset val="134"/>
      </rPr>
      <t>结合的深化高压进线电缆图纸，路径规划报批、过程施工、标识设置及全套试验报验等一切工作内容，并要求乙方确保通过当地供电部门审批验收，费用自行综合考虑。</t>
    </r>
    <r>
      <rPr>
        <sz val="9"/>
        <rFont val="宋体"/>
        <charset val="134"/>
      </rPr>
      <t xml:space="preserve">
17、其余未尽事宜详见总包合同。</t>
    </r>
  </si>
  <si>
    <t>按《珠海隧道工程应急救援管理中心和绿化标施工合同》电气、高压电缆进线及给排水、暖通专业分包工程最终结算总金额=《珠海隧道工程应急救援管理中心和绿化标施工合同》对应施工内容结算总造价*（1-总包中标基础上的下浮百分率）</t>
  </si>
  <si>
    <t>高压电缆进线工程</t>
  </si>
  <si>
    <t>专业暂估价</t>
  </si>
  <si>
    <t>专业分包工程控制价审批表</t>
  </si>
  <si>
    <t>项目名称：向阳村、四塘村党群服务站建设工程-机电安装专业分包</t>
  </si>
  <si>
    <t>《向阳村、四塘村党群服务站建设工程总承包施工合同项目施工合同》对应施工内容暂定不含税总造价(含绿措费、其他措施费及其他费等)</t>
  </si>
  <si>
    <t>投标报价</t>
  </si>
  <si>
    <t>费率（%）</t>
  </si>
  <si>
    <t>向阳村、四塘村党群服务站建设工程-机电安装工程（包含动力配电及电气照明、室外照明、室内给排水、室外给排水、抗震支架及暖通通风空调）专业分包工程</t>
  </si>
  <si>
    <r>
      <t>1、向阳村、四塘村党群服务站建设工程-机电安装工程（包含动力配电及电气照明、室外照明、室内给排水、室外给排水、抗震支架及暖通通风空调）专业分包工程造价计算约定详见《向阳村、四塘村党群服务站建设工程施工总承包施工合同》，本工程建筑面积约3594平方米。结算按采购人与建设单位签订的《向阳村、四塘村党群服务站建设工程施工总承包施工合同》（即采购人与建设单位签订的总包合同，作为结算的附件）相关条款执行，结算由成交人以采购人的名义与建设方进行办理（包括但不限于办理对数、材料比价、材料价格的调整、工程变更、款项核对、合同结算等所有工作内容）。
2、按照采购人与建设单位确认的结算价并按照甲乙双方约定下浮率下浮后，扣除代付款及其他应扣除的费用后支付成交人，由成交人自负盈亏。
3、成交人的结算金额综合考虑了施工期间人工、材料、机械及小型机具以及采购人可提供的现有垂直运输设备等因素，其中施工现场水电费由成交人自行承担，成交人需做到工完场清，成交人施工所造成的建筑垃圾由成交人堆放到采购人指定地点，若由采购人代为处理费用从成交人应收进度款和结算款中全额扣除。
4、政府部门规定的与成交人承包范围相关的规费及税费，由成交人自行全部承担。
5、在成交人每次申请工程款时，扣除相关的规费及税费及其它代付款等成交人应承担费用，从成交人应收工程款中扣除；支付比例达95%时，全额收取成交人应承担费用
6、工程款支付：（1）工程款由成交人自行根据《向阳村、四塘村党群服务站建设工程施工总承包施工合同》的约定，以采购人的名义向建设单位申报及协助采购人收取。流程为：成交人按《向阳村、四塘村党群服务站建设工程施工总承包施工合同》要求上报经建设单位确认的当月或节点完成工程量→采购人初步审核→建设单位审核→建设单位支付采购人款项→成交人向采购人申请款项→采购人按照甲乙双方约定下浮率下浮后，扣除代付款和其他应扣除的费用后支付成交人工程款。如建设单位延期支付工程款，采购人支付给成交人的工程款作相应延期，以实际收到款项为准。若未收到建设单位款项，需要采购人先支付的（含应扣未扣材料费及其他费用），采购人垫付的款项需按采购人公司规定的贷款利息（付款前由双方确认）计提利息后在成交人工程进度款中扣回；（2）成交人申报完成工程量时，须有建设单位确认的工程进度证明。进度款如出现超付时，超付部分在下期付款时扣回或成交人在采购人承接的其他项目款项中扣除，成交人不得有异议；如不足采购人有权通过法律程序追诉；（3）成交人向采购人收取工程款时须按本合同业务提供合法有效的增值税发票（成交人需提供增值税专用发票，税率为9%），双方遵循先开票后付款；（4）工程竣工后，甲乙双方按上述条款有关约定，办理完结算手续，建设单位将结算款拨付给采购人后，由采购人及时按照约定拨付成交人，并按《向阳村、四塘村党群服务站建设工程总承包施工合同》约定扣留质量保证金，缺陷责任期间的采购人承担的义务及费用均由成交人完成，工程尾款及质保金的回收责任由成交人负责，采购人协助办理。
7、采购人负责指导、监督、检查成交人按《向阳村、四塘村党群服务站建设工程施工总承包施工合同》要求完成工程进度、质量、安全文明施工等目标。采购人有权按照内部的管理制度对成交人施工作业进行定期或不定期的进度、质量、安全、文明施工、劳资等方面的检查并进行评定，根据评定结果进行处罚；对成交人达不到《向阳村、四塘村党群服务站建设工程总承包施工合同》约定或建设单位要求，采购人在第二次警告后仍无改进，采购人有权自行安排人员整改，其费用由成交人负责，成交人不得有异议。
8、工期、质量、安全方面，成交人应保证工程按照《向阳村、四塘村党群服务站建设工程总承包施工合同》如期完成，认真执行施工安全法规和标准、施工验收规范、质量评定标准。
9、因成交人原因发生工期延误、质量和安全事故，所造成的经济损失和法律责任由成交人自行负责
10、采购人代成交人垫付的一切款项，若出现成交人应收的工程款不够抵扣，如成交人有其他项目，则采购人有权从成交人承接采购人其他项目工程款中扣除，如其他工程款不能全部抵扣或没有项目工程款可扣的，则采购人有权追究成交人的法律和经济责任，成交人不得有任何异议。
11、安责险、工伤保险及工程一切险由采购人统一购买，由采购人代缴，在成交人进度款中转扣。每期按成交人当期验工计价金额*相应保险费率计算扣款金额。
12、在施工中成交人必须严格执行采购人及建设单位有关文明施工及CI覆盖的要求和规定，现场文明施工，保证企业形象。成交人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向阳村、四塘村党群服务站建设工程施工总承包施工合同》的要求执行，负责向建设单位办理本工程的竣工结算，该结算由成交人以采购人名义并按采购人及建设方有关管理程序办理，采购人负责指导和协助。
14、</t>
    </r>
    <r>
      <rPr>
        <sz val="9"/>
        <color rgb="FFFF0000"/>
        <rFont val="宋体"/>
        <charset val="134"/>
      </rPr>
      <t>材料与设备供应：（1）材料品牌严格按《向阳村、四塘村党群服务站建设工程施工总承包施工合同》中约定或建设单位下发的《大横琴集团材料设备品牌库（过渡期使用）》的《拟参考品牌表（向阳村、四塘村党群服务站建设工程施工总承包施工合同）》约定的范围确认、下订单前需征求采购人的意见。</t>
    </r>
    <r>
      <rPr>
        <sz val="9"/>
        <rFont val="宋体"/>
        <charset val="134"/>
      </rPr>
      <t>（2）若成交人未按规定品牌材料购买导致被采购人及建设方扣罚的，则由成交人承担罚款及引起的一切责任，同时，采购人可在建设方罚款的基础上，另对成交人追加 50%的处罚。（3）成交人自行采购（租赁）的材料及设备必须选用合格产品，并按规定以采购人名义向质监部门送检及备案，所有报告原件必须报采购人备案；严禁无产品合格证和无质量验收手续的材料及备案不合格的设备使用于工程项目。
15、其余未尽事宜详见总包合同。</t>
    </r>
  </si>
  <si>
    <t>最终结算总金额=《向阳村、四塘村党群服务站建设工程总承包施工合同》对应施工内容结算总造价(含绿措费、其他措施费及其他费等)*成交费率</t>
  </si>
  <si>
    <t>税金</t>
  </si>
  <si>
    <t xml:space="preserve">备注：
1、成交人施工场地必须做到工完场清；
2、本工程项目安全文明施工要求：应按照建设单位及珠海市政府相关部门规定做好文明施工，施工现场符合《珠海市扬尘污染防治管理办法》的规定，并按有关规定做好围蔽工作；
3、本工程项目质量要求：配合主体争创国家优质工程奖。综合单价已包含所有费用；
4、工人生活区板房按200元每间每月交纳住宿费，铁架床及空调由成交人负责，每间住宿人数不低于6人，户内电费挂表按实计取，水费及公共区电费按15元/人/月标准计取，卫生费及宿舍区保安费用按30元/人/月标准计取，费用在当月进度款中扣除；
5、成交人必须配合采购人现场管理人员现场管理及安全文明施工，且必须配备专职现场管理人员、专职安全管理人员、专职劳资管理人员，管理人员数量配备须满足采购人需求，不允许兼职方式；
6、本工程已包含3%安全文明施工费（合同含税金额的3%），进度款申报时，成交人需提供金额对等的安全文明施工费发票，否则不予支付进度款。
7、履约保证金比例：合同金额的10%，详细请见合同条款。
8、暂定总承包分部分项不含税总造价为项目整体的暂定金额，不作为结算依据；成交人须服从采购人分配的标段界面施工且综合考虑采购人划分的施工范围界面、量差、周转等一切风险因素，结算时费率不作调整。
</t>
  </si>
  <si>
    <t>供应商（盖章）：
法人或被授权人（签章）：</t>
  </si>
  <si>
    <t>建设工程投标报价汇总表</t>
  </si>
  <si>
    <t>项目名称:</t>
  </si>
  <si>
    <t>向阳村、四塘村党群服务站建设工程施工总承包-机电安装</t>
  </si>
  <si>
    <t>第1页, 共2页</t>
  </si>
  <si>
    <t>单位工程名称</t>
  </si>
  <si>
    <t>金额(元)</t>
  </si>
  <si>
    <t>其中：（元）</t>
  </si>
  <si>
    <t>暂估价</t>
  </si>
  <si>
    <t>绿色施工安全防护措施费</t>
  </si>
  <si>
    <t/>
  </si>
  <si>
    <t>向阳村、四塘村党群服务站建设工程施工总承包-机电安装工程</t>
  </si>
  <si>
    <t>向阳村党群服务站建设工程</t>
  </si>
  <si>
    <t>2</t>
  </si>
  <si>
    <t>向阳村党群服务站建设工程-动力配电及电气照明工程</t>
  </si>
  <si>
    <t>3</t>
  </si>
  <si>
    <t>向阳村党群服务站建设工程-室外照明工程</t>
  </si>
  <si>
    <t>5</t>
  </si>
  <si>
    <t>向阳村党群服务站建设工程-室内给排水工程</t>
  </si>
  <si>
    <t>6</t>
  </si>
  <si>
    <t>向阳村党群服务站建设工程-室外给排水工程</t>
  </si>
  <si>
    <t>8</t>
  </si>
  <si>
    <t>向阳村党群服务站建设工程-抗震支架工程</t>
  </si>
  <si>
    <t>9</t>
  </si>
  <si>
    <t>向阳村党群服务站建设工程-暖通工程</t>
  </si>
  <si>
    <t>小计</t>
  </si>
  <si>
    <t>四塘村党群服务站建设工程</t>
  </si>
  <si>
    <t>四塘村党群服务站建设工程-动力配电及电气照明工程</t>
  </si>
  <si>
    <t>四塘村党群服务站建设工程-室外照明工程</t>
  </si>
  <si>
    <t>四塘村党群服务站建设工程-室内给排水工程</t>
  </si>
  <si>
    <t>四塘村党群服务站建设工程-室外给排水工程</t>
  </si>
  <si>
    <t>四塘村党群服务站建设工程-暖通工程</t>
  </si>
  <si>
    <t>10</t>
  </si>
  <si>
    <t>四塘村党群服务站建设工程-抗震支架工程</t>
  </si>
  <si>
    <t>合    计</t>
  </si>
  <si>
    <t>注：本表适用于工程项目投标报价的汇总；暂估价包括分部分项工程中的暂估价和专业工程暂估价。</t>
  </si>
  <si>
    <t>高压电缆进线安装专业分包工程-控制价审批表</t>
  </si>
  <si>
    <t>项目名称：珠海隧道工程应急救援管理中心和绿化标-高压电缆进线安装专业分包工程</t>
  </si>
  <si>
    <t>暂定总承包高压电缆进线安装专业分包工程不含税总造价</t>
  </si>
  <si>
    <t>高压电缆进线安装专业分包工程</t>
  </si>
  <si>
    <r>
      <rPr>
        <sz val="9"/>
        <rFont val="宋体"/>
        <charset val="134"/>
      </rPr>
      <t>1、珠海隧道工程应急救援管理中心和绿化标高压电缆进线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t>
    </r>
    <r>
      <rPr>
        <sz val="9"/>
        <color rgb="FFFF0000"/>
        <rFont val="宋体"/>
        <charset val="134"/>
      </rPr>
      <t>高压电缆进线工程目前属于暂估价部分，需乙方按建设单位及甲方要求由指定接驳点将线路接入甲方要求地点，该项工作内容已包含并满足现场临时及永久用电的需求和负责相应的临电、永电方案报批，费用已综合考虑；乙方报价需自行考虑包括完成临时、永久用电的深化高压进线电缆图纸，路径规划报批、预算编制、过程施工、标识设置及全套试验报验等一切工作内容，并要求乙方确保通过当地供电部门审批验收，费用自行综合考虑。</t>
    </r>
    <r>
      <rPr>
        <sz val="9"/>
        <rFont val="宋体"/>
        <charset val="134"/>
      </rPr>
      <t xml:space="preserve">
17、</t>
    </r>
    <r>
      <rPr>
        <sz val="9"/>
        <color rgb="FFFF0000"/>
        <rFont val="宋体"/>
        <charset val="134"/>
      </rPr>
      <t>用于临电施工的电缆等，永电可以利用，费用已综合考虑。</t>
    </r>
    <r>
      <rPr>
        <sz val="9"/>
        <rFont val="宋体"/>
        <charset val="134"/>
      </rPr>
      <t xml:space="preserve">
18、其余未尽事宜详见总包合同。</t>
    </r>
  </si>
  <si>
    <t>按《珠海隧道工程应急救援管理中心和绿化标施工合同》高压电缆进线安装专业分包工程最终结算总金额=《珠海隧道工程应急救援管理中心和绿化标施工合同》对应施工内容结算总造价*（1-总包中标基础上的下浮百分率）</t>
  </si>
  <si>
    <t>临时用电工程</t>
  </si>
  <si>
    <t>1、施工范围：满足根据甲方提供的《珠海隧道工程应急救援管理中心和绿化标施工合同临电需求方案》所要求的所有临电工程全部设备材料采购（甲供除外）、土建工程、安装工程、检测、试验、资料、验收、送电等达到甲方用电条件的一切事宜，及为完成施工范围所有项目并达到规范质量要求必须采取的施工措施等。临时用电工程费用包含一切非永久用电的临时用电施工部分；用于永久用电的临时用电施工部分，费用已包含在“高压电缆进线安装专业分包工程”，费用不再重复计算。
2、按照乙方最终结算金额扣除代付款和其他应扣除的费用后支付乙方，由乙方自负盈亏。乙方所交付的货品应符合现行国家相关检测标准，并满足如下特别的质量技术要求：设计、施工及相关技术要求，能满足当地质监部门现场抽检且合格产品；所有相关检测、检验费用均由乙方承担。
3、投标价格包含了人工费、材料费（除甲供外，含检测费用）、机械及小型机具费（除甲供外）、运输费（二次及多次转运)、燃料费、施工水电费、进退场费、管理费、停窝工费、人工与机械降效、超时工作、雨季施工费、夜间施工、交叉施工、非不可抗力恶劣自然条件下施工等、成品保护费、风险费、利润、政府部门规定的与乙方承包范围相关规费及税费（包括增值税、城建税及教育费附加和地方教育附加等）、保险、施工现场可能出现的停水、停电、施工场地受限、施工安全风险因素、企业自身实际情况、外部环境因素、应缴纳的相关部门的手续费及政府主管部门、绿色施工安全防护措施费以及合同包含的包质量、包安全、包CI包项目驻地建设、包赶工措施等所有风险、责任等所有费用。
4、政府部门规定的与乙方承包范围相关的规费及税费，由乙方自行全部承担。
5、甲方有权按照内部的管理制度对乙方施工作业进行定期或不定期的进度、质量、安全、文明施工、劳资等方面的检查并进行评定，根据评定结果进行处罚；对乙方达不到甲方的要求及约定或建设单位要求，甲方在第二次警告后仍无改进，甲方有权自行安排人员整改，其费用由乙方负责，乙方不得有异议。
6、在施工中乙方必须严格执行甲方及建设单位有关文明施工及CI覆盖的要求和规定，现场文明施工，保证企业形象。
7、因乙方原因发生工期延误、质量和安全事故，所造成的经济损失和法律责任由乙方自行负责
8、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9、安责险及工伤保险费按实施项目结算金额的1.5‰分摊，此项费用在结算时扣除。
10、投标方案及对应清单若存在漏项，甲方在结算时不予调整，相关费用均由乙方自行全部承担。 
11、材料与设备供应：
（1）材料品牌按建设单位及甲方要求为准规定执行。
（2）若乙方未按规定品牌材料购买导致被甲方及建设方扣罚的，则由乙方承担罚款及引起的一切责任，同时，甲方可在建设方罚款的基础上，另对乙方追加 50%的处罚。
（3）乙方自行采购（租赁）的材料及设备必须选用合格产品，并按规定以甲方名义向质监部门送检及备案，费用由乙方承担，所有报告原件必须报甲方备案；严禁无产品合格证和无质量验收手续的材料及备案不合格的设备使用于工程项目。</t>
  </si>
  <si>
    <t>按建筑面积计算</t>
  </si>
  <si>
    <t>/</t>
  </si>
  <si>
    <t>固定单价</t>
  </si>
  <si>
    <t>室外工程</t>
  </si>
  <si>
    <t>消防工程</t>
  </si>
  <si>
    <t>分部分项</t>
  </si>
  <si>
    <t>含绿措费</t>
  </si>
  <si>
    <t>电气工程</t>
  </si>
  <si>
    <t>其中：电气火灾监控系统【并入消防】</t>
  </si>
  <si>
    <t>室内给排水工程</t>
  </si>
  <si>
    <t>室外给排水工程</t>
  </si>
  <si>
    <t>自控工程</t>
  </si>
  <si>
    <t>暖通工程</t>
  </si>
  <si>
    <t>电气及给排水、暖通专业分包工程</t>
  </si>
  <si>
    <t>室外工程、消防工程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</si>
</sst>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0\)"/>
    <numFmt numFmtId="178" formatCode="#,##0.00_ "/>
    <numFmt numFmtId="179" formatCode="0.0_ "/>
  </numFmts>
  <fonts count="54">
    <font>
      <sz val="11"/>
      <color theme="1"/>
      <name val="宋体"/>
      <charset val="134"/>
      <scheme val="minor"/>
    </font>
    <font>
      <sz val="11"/>
      <color rgb="FFFF0000"/>
      <name val="宋体"/>
      <charset val="134"/>
      <scheme val="minor"/>
    </font>
    <font>
      <sz val="18"/>
      <color theme="1"/>
      <name val="宋体"/>
      <charset val="134"/>
      <scheme val="minor"/>
    </font>
    <font>
      <b/>
      <sz val="11"/>
      <color theme="1"/>
      <name val="宋体"/>
      <charset val="134"/>
      <scheme val="minor"/>
    </font>
    <font>
      <sz val="11"/>
      <name val="宋体"/>
      <charset val="134"/>
      <scheme val="minor"/>
    </font>
    <font>
      <b/>
      <sz val="18"/>
      <name val="宋体"/>
      <charset val="134"/>
      <scheme val="minor"/>
    </font>
    <font>
      <b/>
      <sz val="11"/>
      <name val="宋体"/>
      <charset val="134"/>
      <scheme val="minor"/>
    </font>
    <font>
      <b/>
      <sz val="9"/>
      <name val="宋体"/>
      <charset val="134"/>
      <scheme val="minor"/>
    </font>
    <font>
      <sz val="9"/>
      <name val="宋体"/>
      <charset val="134"/>
      <scheme val="minor"/>
    </font>
    <font>
      <sz val="9"/>
      <name val="宋体"/>
      <charset val="134"/>
    </font>
    <font>
      <sz val="9"/>
      <color rgb="FFFF0000"/>
      <name val="宋体"/>
      <charset val="134"/>
      <scheme val="minor"/>
    </font>
    <font>
      <b/>
      <sz val="10"/>
      <name val="宋体"/>
      <charset val="134"/>
      <scheme val="minor"/>
    </font>
    <font>
      <sz val="10"/>
      <name val="宋体"/>
      <charset val="134"/>
      <scheme val="minor"/>
    </font>
    <font>
      <sz val="9"/>
      <name val="SimSun"/>
      <charset val="134"/>
    </font>
    <font>
      <b/>
      <sz val="20"/>
      <name val="宋体"/>
      <charset val="134"/>
    </font>
    <font>
      <b/>
      <sz val="10"/>
      <name val="宋体"/>
      <charset val="134"/>
    </font>
    <font>
      <sz val="10"/>
      <name val="宋体"/>
      <charset val="134"/>
    </font>
    <font>
      <b/>
      <sz val="18"/>
      <color theme="1"/>
      <name val="宋体"/>
      <charset val="134"/>
      <scheme val="minor"/>
    </font>
    <font>
      <b/>
      <sz val="18"/>
      <color rgb="FFFF0000"/>
      <name val="宋体"/>
      <charset val="134"/>
      <scheme val="minor"/>
    </font>
    <font>
      <b/>
      <sz val="10"/>
      <color theme="1"/>
      <name val="宋体"/>
      <charset val="134"/>
      <scheme val="minor"/>
    </font>
    <font>
      <sz val="10"/>
      <color theme="1"/>
      <name val="宋体"/>
      <charset val="134"/>
      <scheme val="minor"/>
    </font>
    <font>
      <sz val="10"/>
      <color rgb="FFFF0000"/>
      <name val="宋体"/>
      <charset val="134"/>
      <scheme val="minor"/>
    </font>
    <font>
      <b/>
      <sz val="9"/>
      <color theme="1"/>
      <name val="宋体"/>
      <charset val="134"/>
      <scheme val="minor"/>
    </font>
    <font>
      <b/>
      <sz val="8"/>
      <color theme="1"/>
      <name val="宋体"/>
      <charset val="134"/>
      <scheme val="minor"/>
    </font>
    <font>
      <b/>
      <sz val="8"/>
      <name val="宋体"/>
      <charset val="134"/>
      <scheme val="minor"/>
    </font>
    <font>
      <b/>
      <sz val="9"/>
      <color rgb="FFFF0000"/>
      <name val="宋体"/>
      <charset val="134"/>
      <scheme val="minor"/>
    </font>
    <font>
      <b/>
      <sz val="9"/>
      <color rgb="FF000000"/>
      <name val="宋体"/>
      <charset val="134"/>
    </font>
    <font>
      <sz val="9"/>
      <color theme="1"/>
      <name val="宋体"/>
      <charset val="134"/>
      <scheme val="minor"/>
    </font>
    <font>
      <sz val="9"/>
      <color rgb="FF000000"/>
      <name val="宋体"/>
      <charset val="134"/>
    </font>
    <font>
      <sz val="9"/>
      <color rgb="FFFF0000"/>
      <name val="宋体"/>
      <charset val="134"/>
    </font>
    <font>
      <b/>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9"/>
      <color theme="4"/>
      <name val="宋体"/>
      <charset val="134"/>
    </font>
    <font>
      <sz val="9"/>
      <color theme="4" tint="-0.25"/>
      <name val="宋体"/>
      <charset val="134"/>
    </font>
  </fonts>
  <fills count="3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indexed="9"/>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7" borderId="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0" applyNumberFormat="0" applyFill="0" applyAlignment="0" applyProtection="0">
      <alignment vertical="center"/>
    </xf>
    <xf numFmtId="0" fontId="37" fillId="0" borderId="10" applyNumberFormat="0" applyFill="0" applyAlignment="0" applyProtection="0">
      <alignment vertical="center"/>
    </xf>
    <xf numFmtId="0" fontId="38" fillId="0" borderId="11" applyNumberFormat="0" applyFill="0" applyAlignment="0" applyProtection="0">
      <alignment vertical="center"/>
    </xf>
    <xf numFmtId="0" fontId="38" fillId="0" borderId="0" applyNumberFormat="0" applyFill="0" applyBorder="0" applyAlignment="0" applyProtection="0">
      <alignment vertical="center"/>
    </xf>
    <xf numFmtId="0" fontId="39" fillId="8" borderId="12" applyNumberFormat="0" applyAlignment="0" applyProtection="0">
      <alignment vertical="center"/>
    </xf>
    <xf numFmtId="0" fontId="40" fillId="9" borderId="13" applyNumberFormat="0" applyAlignment="0" applyProtection="0">
      <alignment vertical="center"/>
    </xf>
    <xf numFmtId="0" fontId="41" fillId="9" borderId="12" applyNumberFormat="0" applyAlignment="0" applyProtection="0">
      <alignment vertical="center"/>
    </xf>
    <xf numFmtId="0" fontId="42" fillId="10" borderId="14" applyNumberFormat="0" applyAlignment="0" applyProtection="0">
      <alignment vertical="center"/>
    </xf>
    <xf numFmtId="0" fontId="43" fillId="0" borderId="15" applyNumberFormat="0" applyFill="0" applyAlignment="0" applyProtection="0">
      <alignment vertical="center"/>
    </xf>
    <xf numFmtId="0" fontId="44" fillId="0" borderId="16" applyNumberFormat="0" applyFill="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9" fillId="35" borderId="0" applyNumberFormat="0" applyBorder="0" applyAlignment="0" applyProtection="0">
      <alignment vertical="center"/>
    </xf>
    <xf numFmtId="0" fontId="49" fillId="36" borderId="0" applyNumberFormat="0" applyBorder="0" applyAlignment="0" applyProtection="0">
      <alignment vertical="center"/>
    </xf>
    <xf numFmtId="0" fontId="48" fillId="37" borderId="0" applyNumberFormat="0" applyBorder="0" applyAlignment="0" applyProtection="0">
      <alignment vertical="center"/>
    </xf>
    <xf numFmtId="0" fontId="50" fillId="0" borderId="0">
      <alignment vertical="center"/>
    </xf>
    <xf numFmtId="0" fontId="51" fillId="0" borderId="0"/>
    <xf numFmtId="0" fontId="27" fillId="0" borderId="0"/>
    <xf numFmtId="0" fontId="51" fillId="0" borderId="0"/>
    <xf numFmtId="0" fontId="0" fillId="0" borderId="0">
      <alignment vertical="center"/>
    </xf>
    <xf numFmtId="0" fontId="51" fillId="0" borderId="0"/>
  </cellStyleXfs>
  <cellXfs count="203">
    <xf numFmtId="0" fontId="0" fillId="0" borderId="0" xfId="0">
      <alignment vertical="center"/>
    </xf>
    <xf numFmtId="0" fontId="1" fillId="2" borderId="0" xfId="0" applyFont="1" applyFill="1">
      <alignment vertical="center"/>
    </xf>
    <xf numFmtId="0" fontId="0" fillId="3" borderId="0" xfId="0" applyFill="1">
      <alignment vertical="center"/>
    </xf>
    <xf numFmtId="0" fontId="1" fillId="3" borderId="0" xfId="0" applyFont="1" applyFill="1">
      <alignment vertical="center"/>
    </xf>
    <xf numFmtId="0" fontId="0" fillId="2" borderId="0" xfId="0" applyFill="1">
      <alignment vertical="center"/>
    </xf>
    <xf numFmtId="43" fontId="0" fillId="0" borderId="0" xfId="0" applyNumberFormat="1">
      <alignment vertical="center"/>
    </xf>
    <xf numFmtId="0" fontId="1" fillId="4" borderId="0" xfId="0" applyFont="1" applyFill="1">
      <alignment vertical="center"/>
    </xf>
    <xf numFmtId="43" fontId="0" fillId="2" borderId="0" xfId="0" applyNumberFormat="1" applyFill="1">
      <alignment vertical="center"/>
    </xf>
    <xf numFmtId="0" fontId="0" fillId="4" borderId="0" xfId="0" applyFill="1">
      <alignment vertical="center"/>
    </xf>
    <xf numFmtId="0" fontId="2" fillId="0" borderId="0" xfId="0" applyFont="1" applyAlignment="1">
      <alignment vertical="center"/>
    </xf>
    <xf numFmtId="0" fontId="0" fillId="0" borderId="0" xfId="0" applyFont="1" applyAlignment="1">
      <alignment vertical="center"/>
    </xf>
    <xf numFmtId="0" fontId="0" fillId="0" borderId="0" xfId="0" applyFont="1" applyAlignment="1" applyProtection="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0" fontId="6"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176" fontId="4" fillId="0" borderId="0" xfId="0" applyNumberFormat="1" applyFont="1" applyBorder="1" applyAlignment="1">
      <alignment horizontal="left" vertical="center"/>
    </xf>
    <xf numFmtId="176" fontId="4" fillId="0" borderId="0" xfId="0" applyNumberFormat="1" applyFont="1" applyBorder="1" applyAlignment="1">
      <alignment horizontal="center" vertical="center"/>
    </xf>
    <xf numFmtId="0" fontId="7" fillId="0" borderId="1"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7" fillId="0" borderId="2" xfId="0" applyFont="1" applyBorder="1" applyAlignment="1" applyProtection="1">
      <alignment horizontal="center" vertical="center"/>
    </xf>
    <xf numFmtId="176" fontId="7" fillId="0" borderId="2" xfId="0" applyNumberFormat="1" applyFont="1" applyBorder="1" applyAlignment="1" applyProtection="1">
      <alignment horizontal="center" vertical="center" wrapText="1"/>
    </xf>
    <xf numFmtId="176" fontId="7" fillId="0" borderId="1" xfId="0" applyNumberFormat="1" applyFont="1" applyBorder="1" applyAlignment="1" applyProtection="1">
      <alignment horizontal="center" vertical="center" wrapText="1"/>
    </xf>
    <xf numFmtId="0" fontId="7" fillId="0" borderId="3" xfId="0" applyFont="1" applyBorder="1" applyAlignment="1" applyProtection="1">
      <alignment horizontal="center" vertical="center"/>
    </xf>
    <xf numFmtId="176" fontId="7" fillId="0" borderId="3" xfId="0" applyNumberFormat="1" applyFont="1" applyBorder="1" applyAlignment="1" applyProtection="1">
      <alignmen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176" fontId="8" fillId="0" borderId="2" xfId="0" applyNumberFormat="1" applyFont="1" applyBorder="1" applyAlignment="1">
      <alignment horizontal="center" vertical="center"/>
    </xf>
    <xf numFmtId="10" fontId="8" fillId="0" borderId="1" xfId="3" applyNumberFormat="1" applyFont="1" applyBorder="1" applyAlignment="1">
      <alignment horizontal="center" vertical="center"/>
    </xf>
    <xf numFmtId="0" fontId="8"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left" vertical="center" wrapText="1"/>
    </xf>
    <xf numFmtId="176" fontId="8" fillId="0" borderId="3" xfId="0" applyNumberFormat="1" applyFont="1" applyBorder="1" applyAlignment="1">
      <alignment horizontal="center" vertical="center"/>
    </xf>
    <xf numFmtId="177"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0" fontId="8" fillId="0" borderId="3" xfId="0" applyFont="1" applyBorder="1" applyAlignment="1">
      <alignment horizontal="justify" vertical="center" wrapText="1"/>
    </xf>
    <xf numFmtId="0" fontId="10" fillId="0" borderId="3" xfId="0" applyFont="1" applyFill="1" applyBorder="1" applyAlignment="1">
      <alignment horizontal="center" vertical="center" wrapText="1"/>
    </xf>
    <xf numFmtId="176" fontId="10" fillId="0" borderId="3" xfId="0" applyNumberFormat="1" applyFont="1" applyBorder="1" applyAlignment="1">
      <alignment horizontal="center" vertical="center"/>
    </xf>
    <xf numFmtId="176" fontId="10" fillId="0" borderId="1" xfId="0" applyNumberFormat="1" applyFont="1" applyBorder="1" applyAlignment="1">
      <alignment horizontal="center" vertical="center"/>
    </xf>
    <xf numFmtId="177"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Border="1" applyAlignment="1">
      <alignment horizontal="center" vertical="center"/>
    </xf>
    <xf numFmtId="177" fontId="7" fillId="0" borderId="3" xfId="0" applyNumberFormat="1" applyFont="1" applyBorder="1" applyAlignment="1">
      <alignment horizontal="center" vertical="center"/>
    </xf>
    <xf numFmtId="176" fontId="6" fillId="0" borderId="1" xfId="0" applyNumberFormat="1" applyFont="1" applyBorder="1" applyAlignment="1">
      <alignment vertical="center"/>
    </xf>
    <xf numFmtId="10" fontId="7" fillId="0" borderId="1" xfId="0" applyNumberFormat="1" applyFont="1" applyBorder="1" applyAlignment="1">
      <alignment horizontal="center" vertical="center"/>
    </xf>
    <xf numFmtId="0" fontId="3" fillId="0" borderId="0" xfId="0" applyFont="1" applyAlignment="1">
      <alignment horizontal="left" vertical="center"/>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xf>
    <xf numFmtId="0" fontId="13" fillId="0" borderId="0" xfId="0" applyFont="1" applyFill="1" applyAlignment="1"/>
    <xf numFmtId="0" fontId="14" fillId="5" borderId="0" xfId="0" applyFont="1" applyFill="1" applyAlignment="1">
      <alignment horizontal="center" vertical="center" wrapText="1"/>
    </xf>
    <xf numFmtId="0" fontId="15" fillId="5" borderId="0" xfId="0" applyFont="1" applyFill="1" applyAlignment="1">
      <alignment wrapText="1"/>
    </xf>
    <xf numFmtId="0" fontId="15" fillId="5" borderId="0" xfId="0" applyFont="1" applyFill="1" applyAlignment="1">
      <alignment horizontal="right" wrapText="1"/>
    </xf>
    <xf numFmtId="0" fontId="15" fillId="5" borderId="4"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4" xfId="0" applyFont="1" applyFill="1" applyBorder="1" applyAlignment="1">
      <alignment horizontal="left" vertical="center" wrapText="1"/>
    </xf>
    <xf numFmtId="2" fontId="16" fillId="5" borderId="4" xfId="0" applyNumberFormat="1" applyFont="1" applyFill="1" applyBorder="1" applyAlignment="1">
      <alignment horizontal="right" vertical="center" wrapText="1"/>
    </xf>
    <xf numFmtId="0" fontId="16" fillId="5" borderId="4" xfId="0" applyNumberFormat="1" applyFont="1" applyFill="1" applyBorder="1" applyAlignment="1">
      <alignment horizontal="right" vertical="center" wrapText="1"/>
    </xf>
    <xf numFmtId="0" fontId="16" fillId="5" borderId="0" xfId="0" applyFont="1" applyFill="1" applyAlignment="1">
      <alignment horizontal="left" wrapText="1"/>
    </xf>
    <xf numFmtId="43" fontId="13" fillId="0" borderId="0" xfId="0" applyNumberFormat="1" applyFont="1" applyFill="1" applyAlignment="1"/>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43" fontId="8" fillId="0" borderId="1" xfId="0" applyNumberFormat="1" applyFont="1" applyBorder="1" applyAlignment="1">
      <alignment horizontal="center" vertical="center"/>
    </xf>
    <xf numFmtId="0" fontId="8" fillId="0" borderId="1" xfId="0" applyFont="1" applyBorder="1" applyAlignment="1">
      <alignment horizontal="center" vertical="center"/>
    </xf>
    <xf numFmtId="10" fontId="8" fillId="0" borderId="1" xfId="3" applyNumberFormat="1" applyFont="1" applyBorder="1" applyAlignment="1">
      <alignment vertical="center"/>
    </xf>
    <xf numFmtId="43" fontId="7" fillId="0" borderId="1" xfId="0" applyNumberFormat="1" applyFont="1" applyBorder="1" applyAlignment="1">
      <alignment horizontal="center" vertical="center"/>
    </xf>
    <xf numFmtId="9" fontId="7"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9" fillId="0" borderId="2" xfId="0" applyFont="1" applyBorder="1" applyAlignment="1">
      <alignment horizontal="justify" vertical="center" wrapText="1"/>
    </xf>
    <xf numFmtId="0" fontId="9" fillId="0" borderId="5" xfId="0" applyFont="1" applyBorder="1" applyAlignment="1">
      <alignment horizontal="justify" vertical="center" wrapText="1"/>
    </xf>
    <xf numFmtId="0" fontId="8" fillId="0" borderId="5" xfId="0" applyFont="1" applyBorder="1" applyAlignment="1">
      <alignment horizontal="center" vertical="center" wrapText="1"/>
    </xf>
    <xf numFmtId="0" fontId="9"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0" fillId="6" borderId="0" xfId="0" applyFont="1" applyFill="1" applyAlignment="1">
      <alignment vertical="center"/>
    </xf>
    <xf numFmtId="0" fontId="3" fillId="0" borderId="0" xfId="0" applyFont="1" applyFill="1" applyAlignme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176" fontId="0" fillId="0" borderId="0" xfId="0" applyNumberFormat="1" applyBorder="1" applyAlignment="1">
      <alignment horizontal="center" vertical="center"/>
    </xf>
    <xf numFmtId="178" fontId="0" fillId="0" borderId="0" xfId="0" applyNumberFormat="1" applyBorder="1" applyAlignment="1">
      <alignment horizontal="center" vertical="center" wrapText="1"/>
    </xf>
    <xf numFmtId="178" fontId="4" fillId="0" borderId="0" xfId="0" applyNumberFormat="1" applyFont="1" applyBorder="1" applyAlignment="1">
      <alignment horizontal="center" vertical="center" wrapText="1"/>
    </xf>
    <xf numFmtId="178" fontId="1" fillId="0" borderId="0"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176" fontId="17" fillId="0" borderId="1" xfId="0" applyNumberFormat="1" applyFont="1" applyBorder="1" applyAlignment="1">
      <alignment horizontal="center" vertical="center"/>
    </xf>
    <xf numFmtId="178" fontId="17"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178" fontId="18" fillId="0" borderId="1"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left" vertical="center"/>
    </xf>
    <xf numFmtId="176" fontId="20" fillId="0" borderId="1" xfId="0" applyNumberFormat="1" applyFont="1" applyBorder="1" applyAlignment="1">
      <alignment horizontal="center" vertical="center"/>
    </xf>
    <xf numFmtId="178" fontId="20" fillId="0" borderId="1" xfId="0" applyNumberFormat="1" applyFont="1" applyBorder="1" applyAlignment="1">
      <alignment horizontal="center" vertical="center" wrapText="1"/>
    </xf>
    <xf numFmtId="178" fontId="12" fillId="0" borderId="1" xfId="0" applyNumberFormat="1" applyFont="1" applyBorder="1" applyAlignment="1">
      <alignment horizontal="center" vertical="center" wrapText="1"/>
    </xf>
    <xf numFmtId="178" fontId="21" fillId="0"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176" fontId="22" fillId="0" borderId="1" xfId="0" applyNumberFormat="1" applyFont="1" applyBorder="1" applyAlignment="1">
      <alignment horizontal="center" vertical="center" wrapText="1"/>
    </xf>
    <xf numFmtId="176" fontId="23" fillId="0" borderId="6" xfId="0" applyNumberFormat="1" applyFont="1" applyBorder="1" applyAlignment="1">
      <alignment horizontal="center" vertical="center" wrapText="1"/>
    </xf>
    <xf numFmtId="176" fontId="23" fillId="0" borderId="7" xfId="0" applyNumberFormat="1" applyFont="1" applyBorder="1" applyAlignment="1">
      <alignment horizontal="center" vertical="center" wrapText="1"/>
    </xf>
    <xf numFmtId="178" fontId="23" fillId="0" borderId="1" xfId="0" applyNumberFormat="1" applyFont="1" applyBorder="1" applyAlignment="1">
      <alignment horizontal="center" vertical="center" wrapText="1"/>
    </xf>
    <xf numFmtId="178" fontId="22" fillId="0" borderId="1" xfId="0" applyNumberFormat="1" applyFont="1" applyBorder="1" applyAlignment="1">
      <alignment horizontal="center" vertical="center" wrapText="1"/>
    </xf>
    <xf numFmtId="176" fontId="24" fillId="0" borderId="6" xfId="0" applyNumberFormat="1" applyFont="1" applyBorder="1" applyAlignment="1">
      <alignment horizontal="center" vertical="center" wrapText="1"/>
    </xf>
    <xf numFmtId="178" fontId="24" fillId="0" borderId="1" xfId="0" applyNumberFormat="1" applyFont="1" applyBorder="1" applyAlignment="1">
      <alignment horizontal="center" vertical="center" wrapText="1"/>
    </xf>
    <xf numFmtId="178" fontId="25" fillId="0" borderId="1" xfId="0" applyNumberFormat="1" applyFont="1" applyFill="1" applyBorder="1" applyAlignment="1">
      <alignment horizontal="center" vertical="center" wrapText="1"/>
    </xf>
    <xf numFmtId="178" fontId="25" fillId="0" borderId="6" xfId="0" applyNumberFormat="1" applyFont="1" applyBorder="1" applyAlignment="1">
      <alignment horizontal="center" vertical="center" wrapText="1"/>
    </xf>
    <xf numFmtId="178" fontId="25" fillId="0" borderId="7" xfId="0" applyNumberFormat="1" applyFont="1" applyBorder="1" applyAlignment="1">
      <alignment horizontal="center" vertical="center" wrapText="1"/>
    </xf>
    <xf numFmtId="176" fontId="22" fillId="0" borderId="6" xfId="0" applyNumberFormat="1" applyFont="1" applyBorder="1" applyAlignment="1">
      <alignment horizontal="center" vertical="center" wrapText="1"/>
    </xf>
    <xf numFmtId="176" fontId="22" fillId="0" borderId="8" xfId="0" applyNumberFormat="1" applyFont="1" applyBorder="1" applyAlignment="1">
      <alignment horizontal="center" vertical="center" wrapText="1"/>
    </xf>
    <xf numFmtId="176" fontId="22" fillId="0" borderId="1" xfId="0" applyNumberFormat="1" applyFont="1" applyBorder="1" applyAlignment="1">
      <alignment vertical="center"/>
    </xf>
    <xf numFmtId="176" fontId="22" fillId="0" borderId="7" xfId="0" applyNumberFormat="1" applyFont="1" applyBorder="1" applyAlignment="1">
      <alignment horizontal="center" vertical="center" wrapText="1"/>
    </xf>
    <xf numFmtId="178" fontId="22" fillId="0" borderId="6" xfId="0" applyNumberFormat="1" applyFont="1" applyBorder="1" applyAlignment="1">
      <alignment horizontal="center" vertical="center" wrapText="1"/>
    </xf>
    <xf numFmtId="178" fontId="22" fillId="0" borderId="8"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178" fontId="7" fillId="0" borderId="6" xfId="0" applyNumberFormat="1" applyFont="1" applyBorder="1" applyAlignment="1">
      <alignment horizontal="center" vertical="center" wrapText="1"/>
    </xf>
    <xf numFmtId="178" fontId="25" fillId="0" borderId="6" xfId="0" applyNumberFormat="1" applyFont="1" applyFill="1" applyBorder="1" applyAlignment="1">
      <alignment horizontal="center" vertical="center" wrapText="1"/>
    </xf>
    <xf numFmtId="178" fontId="22" fillId="0" borderId="7" xfId="0" applyNumberFormat="1" applyFont="1" applyBorder="1" applyAlignment="1">
      <alignment horizontal="center" vertical="center" wrapText="1"/>
    </xf>
    <xf numFmtId="10" fontId="22" fillId="0" borderId="1" xfId="0" applyNumberFormat="1" applyFont="1" applyBorder="1" applyAlignment="1">
      <alignment horizontal="center" vertical="center"/>
    </xf>
    <xf numFmtId="176" fontId="22" fillId="0" borderId="1" xfId="0" applyNumberFormat="1" applyFont="1" applyBorder="1" applyAlignment="1">
      <alignment horizontal="center" vertical="center"/>
    </xf>
    <xf numFmtId="178" fontId="7" fillId="0" borderId="1" xfId="0" applyNumberFormat="1" applyFont="1" applyBorder="1" applyAlignment="1">
      <alignment horizontal="center" vertical="center" wrapText="1"/>
    </xf>
    <xf numFmtId="178" fontId="25" fillId="0" borderId="1" xfId="0" applyNumberFormat="1" applyFont="1" applyBorder="1" applyAlignment="1">
      <alignment horizontal="center" vertical="center" wrapText="1"/>
    </xf>
    <xf numFmtId="0" fontId="22" fillId="6" borderId="1" xfId="0" applyFont="1" applyFill="1" applyBorder="1" applyAlignment="1">
      <alignment horizontal="center" vertical="center" wrapText="1"/>
    </xf>
    <xf numFmtId="0" fontId="22" fillId="6" borderId="1" xfId="0" applyFont="1" applyFill="1" applyBorder="1" applyAlignment="1">
      <alignment horizontal="center" vertical="center"/>
    </xf>
    <xf numFmtId="176" fontId="22" fillId="6" borderId="1" xfId="0" applyNumberFormat="1" applyFont="1" applyFill="1" applyBorder="1" applyAlignment="1">
      <alignment horizontal="center" vertical="center"/>
    </xf>
    <xf numFmtId="178" fontId="22" fillId="6" borderId="1" xfId="0" applyNumberFormat="1" applyFont="1" applyFill="1" applyBorder="1" applyAlignment="1">
      <alignment horizontal="center" vertical="center" shrinkToFit="1"/>
    </xf>
    <xf numFmtId="178" fontId="22" fillId="6" borderId="1" xfId="0" applyNumberFormat="1" applyFont="1" applyFill="1" applyBorder="1" applyAlignment="1">
      <alignment horizontal="center" vertical="center" wrapText="1"/>
    </xf>
    <xf numFmtId="178" fontId="7" fillId="6" borderId="1" xfId="0" applyNumberFormat="1" applyFont="1" applyFill="1" applyBorder="1" applyAlignment="1">
      <alignment horizontal="center" vertical="center" shrinkToFit="1"/>
    </xf>
    <xf numFmtId="178" fontId="25" fillId="0" borderId="1" xfId="0" applyNumberFormat="1" applyFont="1" applyFill="1" applyBorder="1" applyAlignment="1">
      <alignment horizontal="center" vertical="center" shrinkToFit="1"/>
    </xf>
    <xf numFmtId="176" fontId="22" fillId="6" borderId="1" xfId="0" applyNumberFormat="1" applyFont="1" applyFill="1" applyBorder="1" applyAlignment="1">
      <alignment horizontal="center" vertical="center" shrinkToFit="1"/>
    </xf>
    <xf numFmtId="0" fontId="0" fillId="6" borderId="0" xfId="0" applyFill="1" applyAlignment="1">
      <alignment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178" fontId="22" fillId="0" borderId="1" xfId="0" applyNumberFormat="1" applyFont="1" applyBorder="1" applyAlignment="1">
      <alignment horizontal="center" vertical="center" shrinkToFit="1"/>
    </xf>
    <xf numFmtId="178" fontId="7" fillId="0" borderId="1" xfId="0" applyNumberFormat="1" applyFont="1" applyBorder="1" applyAlignment="1">
      <alignment horizontal="center" vertical="center" shrinkToFit="1"/>
    </xf>
    <xf numFmtId="176" fontId="22" fillId="0" borderId="1" xfId="0" applyNumberFormat="1" applyFont="1" applyBorder="1" applyAlignment="1">
      <alignment horizontal="center" vertical="center" shrinkToFit="1"/>
    </xf>
    <xf numFmtId="0" fontId="27"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Border="1" applyAlignment="1">
      <alignment horizontal="center" vertical="center" wrapText="1"/>
    </xf>
    <xf numFmtId="176" fontId="27" fillId="0" borderId="1" xfId="0" applyNumberFormat="1" applyFont="1" applyBorder="1" applyAlignment="1">
      <alignment horizontal="center" vertical="center"/>
    </xf>
    <xf numFmtId="178" fontId="27" fillId="0" borderId="1" xfId="0" applyNumberFormat="1" applyFont="1" applyBorder="1" applyAlignment="1">
      <alignment horizontal="center" vertical="center" shrinkToFit="1"/>
    </xf>
    <xf numFmtId="178" fontId="27"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shrinkToFit="1"/>
    </xf>
    <xf numFmtId="178" fontId="10" fillId="0" borderId="1" xfId="0" applyNumberFormat="1" applyFont="1" applyFill="1" applyBorder="1" applyAlignment="1">
      <alignment horizontal="center" vertical="center" shrinkToFit="1"/>
    </xf>
    <xf numFmtId="176" fontId="27" fillId="0" borderId="1" xfId="0" applyNumberFormat="1" applyFont="1" applyBorder="1" applyAlignment="1">
      <alignment horizontal="center" vertical="center" shrinkToFit="1"/>
    </xf>
    <xf numFmtId="0" fontId="27" fillId="0" borderId="1" xfId="0" applyFont="1" applyBorder="1" applyAlignment="1">
      <alignment horizontal="center" vertical="center"/>
    </xf>
    <xf numFmtId="0" fontId="22" fillId="0" borderId="1" xfId="0" applyFont="1" applyBorder="1" applyAlignment="1">
      <alignment horizontal="left" vertical="center"/>
    </xf>
    <xf numFmtId="0" fontId="28" fillId="0" borderId="1" xfId="0" applyFont="1" applyBorder="1" applyAlignment="1">
      <alignment horizontal="left" vertical="center" wrapText="1"/>
    </xf>
    <xf numFmtId="0" fontId="27" fillId="0" borderId="1" xfId="0" applyFont="1" applyBorder="1" applyAlignment="1">
      <alignment horizontal="left" vertical="center" wrapText="1"/>
    </xf>
    <xf numFmtId="0" fontId="22" fillId="0" borderId="1" xfId="0" applyFont="1" applyBorder="1" applyAlignment="1">
      <alignment horizontal="left" vertical="center" wrapText="1"/>
    </xf>
    <xf numFmtId="179" fontId="27" fillId="0" borderId="1" xfId="0" applyNumberFormat="1" applyFont="1" applyBorder="1" applyAlignment="1">
      <alignment vertical="center" wrapText="1"/>
    </xf>
    <xf numFmtId="177" fontId="7"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176" fontId="22" fillId="0" borderId="1" xfId="0" applyNumberFormat="1" applyFont="1" applyFill="1" applyBorder="1" applyAlignment="1">
      <alignment horizontal="center" vertical="center"/>
    </xf>
    <xf numFmtId="178" fontId="22" fillId="0" borderId="1" xfId="0" applyNumberFormat="1" applyFont="1" applyFill="1" applyBorder="1" applyAlignment="1">
      <alignment horizontal="center" vertical="center" shrinkToFit="1"/>
    </xf>
    <xf numFmtId="178" fontId="22" fillId="0" borderId="1" xfId="0"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shrinkToFit="1"/>
    </xf>
    <xf numFmtId="176" fontId="22" fillId="0" borderId="1"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xf>
    <xf numFmtId="10" fontId="22" fillId="0" borderId="1" xfId="3" applyNumberFormat="1" applyFont="1" applyFill="1" applyBorder="1" applyAlignment="1">
      <alignment horizontal="center" vertical="center" shrinkToFit="1"/>
    </xf>
    <xf numFmtId="10" fontId="22" fillId="0" borderId="1" xfId="3" applyNumberFormat="1" applyFont="1" applyFill="1" applyBorder="1" applyAlignment="1">
      <alignment horizontal="center" vertical="center" wrapText="1"/>
    </xf>
    <xf numFmtId="10" fontId="7" fillId="0" borderId="1" xfId="3" applyNumberFormat="1" applyFont="1" applyFill="1" applyBorder="1" applyAlignment="1">
      <alignment horizontal="center" vertical="center" shrinkToFit="1"/>
    </xf>
    <xf numFmtId="10" fontId="25" fillId="0" borderId="1" xfId="3" applyNumberFormat="1" applyFont="1" applyFill="1" applyBorder="1" applyAlignment="1">
      <alignment horizontal="center" vertical="center" shrinkToFit="1"/>
    </xf>
    <xf numFmtId="177" fontId="7" fillId="6"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27" fillId="6" borderId="1" xfId="0" applyFont="1" applyFill="1" applyBorder="1" applyAlignment="1">
      <alignment horizontal="center" vertical="center"/>
    </xf>
    <xf numFmtId="0" fontId="29" fillId="0" borderId="1" xfId="0" applyFont="1" applyBorder="1" applyAlignment="1">
      <alignment horizontal="left" vertical="center" wrapText="1"/>
    </xf>
    <xf numFmtId="177" fontId="22"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10" fontId="22" fillId="0" borderId="1" xfId="3" applyNumberFormat="1" applyFont="1" applyBorder="1" applyAlignment="1">
      <alignment horizontal="center" vertical="center" shrinkToFit="1"/>
    </xf>
    <xf numFmtId="10" fontId="22" fillId="0" borderId="1" xfId="3" applyNumberFormat="1" applyFont="1" applyBorder="1" applyAlignment="1">
      <alignment horizontal="center" vertical="center" wrapText="1"/>
    </xf>
    <xf numFmtId="10" fontId="7" fillId="0" borderId="1" xfId="3" applyNumberFormat="1" applyFont="1" applyBorder="1" applyAlignment="1">
      <alignment horizontal="center" vertical="center" shrinkToFit="1"/>
    </xf>
    <xf numFmtId="0" fontId="26" fillId="6" borderId="1" xfId="0" applyFont="1" applyFill="1" applyBorder="1" applyAlignment="1">
      <alignment horizontal="center" vertical="center" wrapText="1"/>
    </xf>
    <xf numFmtId="0" fontId="28" fillId="6" borderId="1" xfId="0" applyFont="1" applyFill="1" applyBorder="1" applyAlignment="1">
      <alignment horizontal="left" vertical="center" wrapText="1"/>
    </xf>
    <xf numFmtId="0" fontId="28" fillId="6" borderId="1" xfId="0" applyFont="1" applyFill="1" applyBorder="1" applyAlignment="1">
      <alignment horizontal="center" vertical="center" wrapText="1"/>
    </xf>
    <xf numFmtId="176" fontId="27" fillId="6" borderId="1" xfId="0" applyNumberFormat="1" applyFont="1" applyFill="1" applyBorder="1" applyAlignment="1">
      <alignment horizontal="center" vertical="center"/>
    </xf>
    <xf numFmtId="178" fontId="27" fillId="6" borderId="1" xfId="0" applyNumberFormat="1" applyFont="1" applyFill="1" applyBorder="1" applyAlignment="1">
      <alignment horizontal="center" vertical="center" shrinkToFit="1"/>
    </xf>
    <xf numFmtId="178" fontId="27" fillId="6" borderId="1" xfId="0" applyNumberFormat="1" applyFont="1" applyFill="1" applyBorder="1" applyAlignment="1">
      <alignment horizontal="center" vertical="center" wrapText="1"/>
    </xf>
    <xf numFmtId="178" fontId="8" fillId="6" borderId="1" xfId="0" applyNumberFormat="1" applyFont="1" applyFill="1" applyBorder="1" applyAlignment="1">
      <alignment horizontal="center" vertical="center" shrinkToFit="1"/>
    </xf>
    <xf numFmtId="176" fontId="27" fillId="0" borderId="1" xfId="0" applyNumberFormat="1" applyFont="1" applyBorder="1" applyAlignment="1">
      <alignment horizontal="center" vertical="center" wrapText="1"/>
    </xf>
    <xf numFmtId="10" fontId="27" fillId="0" borderId="1" xfId="3" applyNumberFormat="1" applyFont="1" applyBorder="1" applyAlignment="1">
      <alignment horizontal="center" vertical="center" shrinkToFit="1"/>
    </xf>
    <xf numFmtId="10" fontId="27" fillId="0" borderId="1" xfId="3" applyNumberFormat="1" applyFont="1" applyBorder="1" applyAlignment="1">
      <alignment horizontal="center" vertical="center" wrapText="1"/>
    </xf>
    <xf numFmtId="10" fontId="8" fillId="0" borderId="1" xfId="3" applyNumberFormat="1" applyFont="1" applyBorder="1" applyAlignment="1">
      <alignment horizontal="center" vertical="center" shrinkToFit="1"/>
    </xf>
    <xf numFmtId="10" fontId="10" fillId="0" borderId="1" xfId="3" applyNumberFormat="1" applyFont="1" applyFill="1" applyBorder="1" applyAlignment="1">
      <alignment horizontal="center" vertical="center" shrinkToFit="1"/>
    </xf>
    <xf numFmtId="0" fontId="27" fillId="6" borderId="1" xfId="0" applyFont="1" applyFill="1" applyBorder="1" applyAlignment="1">
      <alignment horizontal="center" vertical="center" wrapText="1"/>
    </xf>
    <xf numFmtId="0" fontId="19" fillId="0" borderId="1" xfId="0" applyFont="1" applyBorder="1" applyAlignment="1">
      <alignment horizontal="center" vertical="center" wrapText="1"/>
    </xf>
    <xf numFmtId="178" fontId="19" fillId="0" borderId="1" xfId="0" applyNumberFormat="1" applyFont="1" applyBorder="1" applyAlignment="1">
      <alignment horizontal="center" vertical="center" wrapText="1"/>
    </xf>
    <xf numFmtId="178" fontId="11" fillId="0" borderId="1" xfId="0" applyNumberFormat="1" applyFont="1" applyBorder="1" applyAlignment="1">
      <alignment horizontal="center" vertical="center" wrapText="1"/>
    </xf>
    <xf numFmtId="178" fontId="30" fillId="0" borderId="1" xfId="0" applyNumberFormat="1" applyFont="1" applyFill="1" applyBorder="1" applyAlignment="1">
      <alignment horizontal="center" vertical="center" wrapText="1"/>
    </xf>
    <xf numFmtId="178" fontId="19" fillId="0" borderId="1" xfId="0" applyNumberFormat="1" applyFont="1" applyBorder="1" applyAlignment="1">
      <alignment horizontal="left" vertical="center" wrapText="1"/>
    </xf>
    <xf numFmtId="178" fontId="11" fillId="0" borderId="1" xfId="0" applyNumberFormat="1" applyFont="1" applyBorder="1" applyAlignment="1">
      <alignment horizontal="left" vertical="center" wrapText="1"/>
    </xf>
    <xf numFmtId="178" fontId="30" fillId="0" borderId="1" xfId="0" applyNumberFormat="1"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10" xfId="50"/>
    <cellStyle name="Normal" xfId="51"/>
    <cellStyle name="常规 3" xfId="52"/>
    <cellStyle name="常规 4 17 3" xfId="53"/>
    <cellStyle name="常规 10 10" xfId="54"/>
  </cellStyles>
  <tableStyles count="0" defaultTableStyle="TableStyleMedium2" defaultPivotStyle="PivotStyleLight16"/>
  <colors>
    <mruColors>
      <color rgb="00D6F0FD"/>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J59"/>
  <sheetViews>
    <sheetView view="pageBreakPreview" zoomScaleNormal="100" workbookViewId="0">
      <pane xSplit="6" ySplit="5" topLeftCell="Z14" activePane="bottomRight" state="frozen"/>
      <selection/>
      <selection pane="topRight"/>
      <selection pane="bottomLeft"/>
      <selection pane="bottomRight" activeCell="AB25" sqref="AB25"/>
    </sheetView>
  </sheetViews>
  <sheetFormatPr defaultColWidth="8.89166666666667" defaultRowHeight="13.5"/>
  <cols>
    <col min="1" max="1" width="6" style="86" customWidth="1"/>
    <col min="2" max="2" width="22" style="87" customWidth="1"/>
    <col min="3" max="3" width="79.1333333333333" style="87" customWidth="1" outlineLevel="1"/>
    <col min="4" max="4" width="24.2333333333333" style="87" customWidth="1" outlineLevel="1"/>
    <col min="5" max="5" width="7.725" style="87" customWidth="1"/>
    <col min="6" max="6" width="9.38333333333333" style="88" customWidth="1"/>
    <col min="7" max="7" width="7.275" style="89" customWidth="1"/>
    <col min="8" max="8" width="12.3333333333333" style="89" customWidth="1" outlineLevel="1"/>
    <col min="9" max="9" width="7.275" style="89" customWidth="1"/>
    <col min="10" max="10" width="13.5583333333333" style="89" customWidth="1" outlineLevel="1"/>
    <col min="11" max="11" width="7.275" style="89" customWidth="1"/>
    <col min="12" max="12" width="16.4416666666667" style="89" customWidth="1" outlineLevel="1"/>
    <col min="13" max="13" width="7.275" style="89" customWidth="1"/>
    <col min="14" max="14" width="16.4416666666667" style="89" customWidth="1" outlineLevel="1"/>
    <col min="15" max="15" width="7.275" style="89" customWidth="1"/>
    <col min="16" max="16" width="16.4416666666667" style="89" customWidth="1" outlineLevel="1"/>
    <col min="17" max="17" width="7.275" style="89" customWidth="1"/>
    <col min="18" max="18" width="15.3833333333333" style="89" customWidth="1" outlineLevel="1"/>
    <col min="19" max="19" width="7.275" style="90" customWidth="1"/>
    <col min="20" max="20" width="16.4416666666667" style="89" customWidth="1" outlineLevel="1"/>
    <col min="21" max="21" width="7.275" style="90" customWidth="1"/>
    <col min="22" max="22" width="16.4416666666667" style="89" customWidth="1" outlineLevel="1"/>
    <col min="23" max="23" width="7.275" style="89" customWidth="1"/>
    <col min="24" max="24" width="13.2333333333333" style="89" customWidth="1" outlineLevel="1"/>
    <col min="25" max="25" width="7.275" style="89" customWidth="1"/>
    <col min="26" max="26" width="15.8833333333333" style="89" customWidth="1" outlineLevel="1"/>
    <col min="27" max="27" width="13.325" style="91" customWidth="1"/>
    <col min="28" max="28" width="20.2583333333333" style="89" customWidth="1" outlineLevel="1"/>
    <col min="29" max="29" width="12.5583333333333" style="89" customWidth="1" outlineLevel="2"/>
    <col min="30" max="30" width="17.2083333333333" style="89" customWidth="1" outlineLevel="2"/>
    <col min="31" max="31" width="10.6333333333333" style="88" customWidth="1"/>
    <col min="32" max="32" width="18.2583333333333" style="88" customWidth="1"/>
    <col min="33" max="33" width="19.7" style="87" customWidth="1"/>
    <col min="34" max="16384" width="8.89166666666667" style="13"/>
  </cols>
  <sheetData>
    <row r="1" s="9" customFormat="1" ht="25" customHeight="1" spans="1:36">
      <c r="A1" s="92" t="s">
        <v>0</v>
      </c>
      <c r="B1" s="93"/>
      <c r="C1" s="93"/>
      <c r="D1" s="93"/>
      <c r="E1" s="93"/>
      <c r="F1" s="94"/>
      <c r="G1" s="95"/>
      <c r="H1" s="95"/>
      <c r="I1" s="95"/>
      <c r="J1" s="95"/>
      <c r="K1" s="95"/>
      <c r="L1" s="95"/>
      <c r="M1" s="95"/>
      <c r="N1" s="95"/>
      <c r="O1" s="95"/>
      <c r="P1" s="95"/>
      <c r="Q1" s="95"/>
      <c r="R1" s="95"/>
      <c r="S1" s="96"/>
      <c r="T1" s="95"/>
      <c r="U1" s="96"/>
      <c r="V1" s="95"/>
      <c r="W1" s="95"/>
      <c r="X1" s="95"/>
      <c r="Y1" s="95"/>
      <c r="Z1" s="95"/>
      <c r="AA1" s="97"/>
      <c r="AB1" s="95"/>
      <c r="AC1" s="95"/>
      <c r="AD1" s="95"/>
      <c r="AE1" s="94"/>
      <c r="AF1" s="94"/>
      <c r="AG1" s="93"/>
    </row>
    <row r="2" s="10" customFormat="1" ht="23" customHeight="1" spans="1:36">
      <c r="A2" s="98" t="s">
        <v>1</v>
      </c>
      <c r="B2" s="99"/>
      <c r="C2" s="100"/>
      <c r="D2" s="100"/>
      <c r="E2" s="100"/>
      <c r="F2" s="101"/>
      <c r="G2" s="102"/>
      <c r="H2" s="102"/>
      <c r="I2" s="102"/>
      <c r="J2" s="102"/>
      <c r="K2" s="102"/>
      <c r="L2" s="102"/>
      <c r="M2" s="102"/>
      <c r="N2" s="102"/>
      <c r="O2" s="102"/>
      <c r="P2" s="102"/>
      <c r="Q2" s="102"/>
      <c r="R2" s="102"/>
      <c r="S2" s="103"/>
      <c r="T2" s="102"/>
      <c r="U2" s="103"/>
      <c r="V2" s="102"/>
      <c r="W2" s="102"/>
      <c r="X2" s="102"/>
      <c r="Y2" s="102"/>
      <c r="Z2" s="102"/>
      <c r="AA2" s="104"/>
      <c r="AB2" s="102"/>
      <c r="AC2" s="102"/>
      <c r="AD2" s="102"/>
      <c r="AE2" s="101"/>
      <c r="AF2" s="101"/>
      <c r="AG2" s="100"/>
    </row>
    <row r="3" s="10" customFormat="1" ht="33" customHeight="1" collapsed="1" spans="1:36">
      <c r="A3" s="105" t="s">
        <v>2</v>
      </c>
      <c r="B3" s="106" t="s">
        <v>3</v>
      </c>
      <c r="C3" s="106" t="s">
        <v>4</v>
      </c>
      <c r="D3" s="105" t="s">
        <v>5</v>
      </c>
      <c r="E3" s="106" t="s">
        <v>6</v>
      </c>
      <c r="F3" s="107" t="s">
        <v>7</v>
      </c>
      <c r="G3" s="108" t="s">
        <v>8</v>
      </c>
      <c r="H3" s="109"/>
      <c r="I3" s="110" t="s">
        <v>9</v>
      </c>
      <c r="J3" s="110"/>
      <c r="K3" s="111" t="s">
        <v>10</v>
      </c>
      <c r="L3" s="111"/>
      <c r="M3" s="112" t="s">
        <v>11</v>
      </c>
      <c r="N3" s="109"/>
      <c r="O3" s="110" t="s">
        <v>12</v>
      </c>
      <c r="P3" s="110"/>
      <c r="Q3" s="110" t="s">
        <v>13</v>
      </c>
      <c r="R3" s="110"/>
      <c r="S3" s="113" t="s">
        <v>14</v>
      </c>
      <c r="T3" s="110"/>
      <c r="U3" s="111" t="s">
        <v>15</v>
      </c>
      <c r="V3" s="111"/>
      <c r="W3" s="110" t="s">
        <v>16</v>
      </c>
      <c r="X3" s="110"/>
      <c r="Y3" s="110" t="s">
        <v>17</v>
      </c>
      <c r="Z3" s="110"/>
      <c r="AA3" s="114" t="s">
        <v>18</v>
      </c>
      <c r="AB3" s="111"/>
      <c r="AC3" s="115" t="s">
        <v>19</v>
      </c>
      <c r="AD3" s="116"/>
      <c r="AE3" s="117" t="s">
        <v>20</v>
      </c>
      <c r="AF3" s="118"/>
      <c r="AG3" s="119"/>
    </row>
    <row r="4" s="10" customFormat="1" ht="33" hidden="1" customHeight="1" outlineLevel="1" spans="1:36">
      <c r="A4" s="105"/>
      <c r="B4" s="106"/>
      <c r="C4" s="106"/>
      <c r="D4" s="105"/>
      <c r="E4" s="106"/>
      <c r="F4" s="107"/>
      <c r="G4" s="117" t="s">
        <v>21</v>
      </c>
      <c r="H4" s="120"/>
      <c r="I4" s="121" t="s">
        <v>22</v>
      </c>
      <c r="J4" s="122"/>
      <c r="K4" s="121" t="s">
        <v>23</v>
      </c>
      <c r="L4" s="122"/>
      <c r="M4" s="123" t="s">
        <v>24</v>
      </c>
      <c r="N4" s="120"/>
      <c r="O4" s="121" t="s">
        <v>25</v>
      </c>
      <c r="P4" s="122"/>
      <c r="Q4" s="121" t="s">
        <v>26</v>
      </c>
      <c r="R4" s="122"/>
      <c r="S4" s="124" t="s">
        <v>27</v>
      </c>
      <c r="T4" s="122"/>
      <c r="U4" s="121" t="s">
        <v>28</v>
      </c>
      <c r="V4" s="122"/>
      <c r="W4" s="121" t="s">
        <v>29</v>
      </c>
      <c r="X4" s="122"/>
      <c r="Y4" s="121" t="s">
        <v>30</v>
      </c>
      <c r="Z4" s="122"/>
      <c r="AA4" s="125"/>
      <c r="AB4" s="122"/>
      <c r="AC4" s="126" t="s">
        <v>31</v>
      </c>
      <c r="AD4" s="126"/>
      <c r="AE4" s="117"/>
      <c r="AF4" s="118"/>
      <c r="AG4" s="127"/>
    </row>
    <row r="5" s="10" customFormat="1" ht="35" customHeight="1" spans="1:36">
      <c r="A5" s="105"/>
      <c r="B5" s="106"/>
      <c r="C5" s="106"/>
      <c r="D5" s="105"/>
      <c r="E5" s="106"/>
      <c r="F5" s="128"/>
      <c r="G5" s="111" t="s">
        <v>32</v>
      </c>
      <c r="H5" s="111" t="s">
        <v>33</v>
      </c>
      <c r="I5" s="111" t="s">
        <v>32</v>
      </c>
      <c r="J5" s="111" t="s">
        <v>33</v>
      </c>
      <c r="K5" s="111" t="s">
        <v>32</v>
      </c>
      <c r="L5" s="111" t="s">
        <v>33</v>
      </c>
      <c r="M5" s="111" t="s">
        <v>32</v>
      </c>
      <c r="N5" s="111" t="s">
        <v>33</v>
      </c>
      <c r="O5" s="111" t="s">
        <v>32</v>
      </c>
      <c r="P5" s="111" t="s">
        <v>33</v>
      </c>
      <c r="Q5" s="111" t="s">
        <v>32</v>
      </c>
      <c r="R5" s="111" t="s">
        <v>33</v>
      </c>
      <c r="S5" s="129" t="s">
        <v>32</v>
      </c>
      <c r="T5" s="111" t="s">
        <v>33</v>
      </c>
      <c r="U5" s="129" t="s">
        <v>32</v>
      </c>
      <c r="V5" s="111" t="s">
        <v>33</v>
      </c>
      <c r="W5" s="111" t="s">
        <v>32</v>
      </c>
      <c r="X5" s="111" t="s">
        <v>33</v>
      </c>
      <c r="Y5" s="111" t="s">
        <v>32</v>
      </c>
      <c r="Z5" s="111" t="s">
        <v>33</v>
      </c>
      <c r="AA5" s="114" t="s">
        <v>32</v>
      </c>
      <c r="AB5" s="111" t="s">
        <v>33</v>
      </c>
      <c r="AC5" s="130" t="s">
        <v>34</v>
      </c>
      <c r="AD5" s="111" t="s">
        <v>33</v>
      </c>
      <c r="AE5" s="111" t="s">
        <v>32</v>
      </c>
      <c r="AF5" s="111" t="s">
        <v>33</v>
      </c>
      <c r="AG5" s="127" t="s">
        <v>35</v>
      </c>
    </row>
    <row r="6" s="84" customFormat="1" ht="35" customHeight="1" spans="1:36">
      <c r="A6" s="131" t="s">
        <v>36</v>
      </c>
      <c r="B6" s="132" t="s">
        <v>37</v>
      </c>
      <c r="C6" s="132"/>
      <c r="D6" s="131"/>
      <c r="E6" s="132"/>
      <c r="F6" s="133"/>
      <c r="G6" s="134"/>
      <c r="H6" s="134">
        <f t="shared" ref="H6:L6" si="0">H27</f>
        <v>31037591.6893701</v>
      </c>
      <c r="I6" s="134"/>
      <c r="J6" s="134">
        <f t="shared" si="0"/>
        <v>23867249.46696</v>
      </c>
      <c r="K6" s="135"/>
      <c r="L6" s="134">
        <f t="shared" si="0"/>
        <v>19782814.25484</v>
      </c>
      <c r="M6" s="134"/>
      <c r="N6" s="134">
        <f>N27</f>
        <v>19609201.585602</v>
      </c>
      <c r="O6" s="134"/>
      <c r="P6" s="134">
        <f>P27</f>
        <v>18407072.17293</v>
      </c>
      <c r="Q6" s="134"/>
      <c r="R6" s="134">
        <f t="shared" ref="R6:V6" si="1">R27</f>
        <v>14948623.144836</v>
      </c>
      <c r="S6" s="136"/>
      <c r="T6" s="134">
        <f t="shared" si="1"/>
        <v>14376254.2301208</v>
      </c>
      <c r="U6" s="135"/>
      <c r="V6" s="134">
        <f t="shared" si="1"/>
        <v>14784608.43722</v>
      </c>
      <c r="W6" s="134"/>
      <c r="X6" s="134">
        <f>X27</f>
        <v>13382699.5042</v>
      </c>
      <c r="Y6" s="134"/>
      <c r="Z6" s="134">
        <f t="shared" ref="Z6:AD6" si="2">Z27</f>
        <v>11886383.2679</v>
      </c>
      <c r="AA6" s="137"/>
      <c r="AB6" s="134">
        <f t="shared" si="2"/>
        <v>12766539.8041821</v>
      </c>
      <c r="AC6" s="134"/>
      <c r="AD6" s="134">
        <f t="shared" si="2"/>
        <v>12660538.0032</v>
      </c>
      <c r="AE6" s="138"/>
      <c r="AF6" s="134">
        <f>AF27</f>
        <v>13532532.192433</v>
      </c>
      <c r="AG6" s="132"/>
      <c r="AH6" s="139"/>
      <c r="AI6" s="139"/>
      <c r="AJ6" s="139"/>
    </row>
    <row r="7" s="12" customFormat="1" ht="25" customHeight="1" outlineLevel="1" spans="1:36">
      <c r="A7" s="105">
        <v>1</v>
      </c>
      <c r="B7" s="140" t="s">
        <v>38</v>
      </c>
      <c r="C7" s="141"/>
      <c r="D7" s="141"/>
      <c r="E7" s="140"/>
      <c r="F7" s="128"/>
      <c r="G7" s="142"/>
      <c r="H7" s="142">
        <f t="shared" ref="H7:L7" si="3">SUM(H8:H10)</f>
        <v>410893.2</v>
      </c>
      <c r="I7" s="142"/>
      <c r="J7" s="142">
        <f t="shared" si="3"/>
        <v>411510.696</v>
      </c>
      <c r="K7" s="111"/>
      <c r="L7" s="142">
        <f t="shared" si="3"/>
        <v>389102.4</v>
      </c>
      <c r="M7" s="142"/>
      <c r="N7" s="142">
        <f>SUM(N8:N10)</f>
        <v>464172</v>
      </c>
      <c r="O7" s="142"/>
      <c r="P7" s="142">
        <f>SUM(P8:P10)</f>
        <v>147852</v>
      </c>
      <c r="Q7" s="142"/>
      <c r="R7" s="142">
        <f t="shared" ref="R7:V7" si="4">SUM(R8:R10)</f>
        <v>392803.2</v>
      </c>
      <c r="S7" s="143"/>
      <c r="T7" s="142">
        <f t="shared" si="4"/>
        <v>414431.60208</v>
      </c>
      <c r="U7" s="111"/>
      <c r="V7" s="142">
        <f t="shared" si="4"/>
        <v>331048.6848</v>
      </c>
      <c r="W7" s="142"/>
      <c r="X7" s="142">
        <f>SUM(X8:X10)</f>
        <v>340800</v>
      </c>
      <c r="Y7" s="142"/>
      <c r="Z7" s="142">
        <f t="shared" ref="Z7:AD7" si="5">SUM(Z8:Z10)</f>
        <v>339240</v>
      </c>
      <c r="AA7" s="137"/>
      <c r="AB7" s="142">
        <f t="shared" si="5"/>
        <v>326158.003803186</v>
      </c>
      <c r="AC7" s="142"/>
      <c r="AD7" s="142">
        <f t="shared" si="5"/>
        <v>364946.4</v>
      </c>
      <c r="AE7" s="144"/>
      <c r="AF7" s="142">
        <f>SUM(AF8:AF10)</f>
        <v>345727.484031377</v>
      </c>
      <c r="AG7" s="106"/>
    </row>
    <row r="8" s="10" customFormat="1" ht="56" customHeight="1" outlineLevel="2" spans="1:36">
      <c r="A8" s="145">
        <v>1.1</v>
      </c>
      <c r="B8" s="146" t="s">
        <v>39</v>
      </c>
      <c r="C8" s="147" t="s">
        <v>40</v>
      </c>
      <c r="D8" s="147" t="s">
        <v>41</v>
      </c>
      <c r="E8" s="148" t="s">
        <v>42</v>
      </c>
      <c r="F8" s="149">
        <f>0.01*48000/2</f>
        <v>240</v>
      </c>
      <c r="G8" s="150">
        <v>811.364</v>
      </c>
      <c r="H8" s="150">
        <f t="shared" ref="H8:H10" si="6">+$F8*G8</f>
        <v>194727.36</v>
      </c>
      <c r="I8" s="150">
        <v>822.8279</v>
      </c>
      <c r="J8" s="150">
        <f t="shared" ref="J8:J10" si="7">+$F8*I8</f>
        <v>197478.696</v>
      </c>
      <c r="K8" s="151">
        <v>758</v>
      </c>
      <c r="L8" s="150">
        <f t="shared" ref="L8:L10" si="8">+$F8*K8</f>
        <v>181920</v>
      </c>
      <c r="M8" s="150">
        <v>872.66</v>
      </c>
      <c r="N8" s="150">
        <f t="shared" ref="N8:N10" si="9">+$F8*M8</f>
        <v>209438.4</v>
      </c>
      <c r="O8" s="150">
        <v>310.8</v>
      </c>
      <c r="P8" s="150">
        <f>+$F8*O8</f>
        <v>74592</v>
      </c>
      <c r="Q8" s="150">
        <v>809.04</v>
      </c>
      <c r="R8" s="150">
        <f t="shared" ref="R8:R10" si="10">+$F8*Q8</f>
        <v>194169.6</v>
      </c>
      <c r="S8" s="152">
        <v>965.6441</v>
      </c>
      <c r="T8" s="150">
        <f>+$F8*S8</f>
        <v>231754.584</v>
      </c>
      <c r="U8" s="151">
        <v>645.8672</v>
      </c>
      <c r="V8" s="150">
        <f t="shared" ref="V8:V10" si="11">+$F8*U8</f>
        <v>155008.128</v>
      </c>
      <c r="W8" s="150">
        <v>680</v>
      </c>
      <c r="X8" s="150">
        <f>+$F8*W8</f>
        <v>163200</v>
      </c>
      <c r="Y8" s="150">
        <v>682</v>
      </c>
      <c r="Z8" s="150">
        <f t="shared" ref="Z8:AD8" si="12">+$F8*Y8</f>
        <v>163680</v>
      </c>
      <c r="AA8" s="153">
        <v>646.995353982301</v>
      </c>
      <c r="AB8" s="150">
        <f t="shared" si="12"/>
        <v>155278.884955752</v>
      </c>
      <c r="AC8" s="150">
        <v>684.98</v>
      </c>
      <c r="AD8" s="150">
        <f t="shared" si="12"/>
        <v>164395.2</v>
      </c>
      <c r="AE8" s="154">
        <f t="shared" ref="AE8:AE10" si="13">+AA8*1.06</f>
        <v>685.815075221239</v>
      </c>
      <c r="AF8" s="150">
        <f>+$F8*AE8</f>
        <v>164595.618053097</v>
      </c>
      <c r="AG8" s="155"/>
    </row>
    <row r="9" s="10" customFormat="1" ht="55" customHeight="1" outlineLevel="2" spans="1:36">
      <c r="A9" s="145">
        <v>1.2</v>
      </c>
      <c r="B9" s="146" t="s">
        <v>39</v>
      </c>
      <c r="C9" s="147" t="s">
        <v>43</v>
      </c>
      <c r="D9" s="147" t="s">
        <v>41</v>
      </c>
      <c r="E9" s="148" t="s">
        <v>42</v>
      </c>
      <c r="F9" s="149">
        <f>0.01*48000/2</f>
        <v>240</v>
      </c>
      <c r="G9" s="150">
        <v>754.336</v>
      </c>
      <c r="H9" s="150">
        <f t="shared" si="6"/>
        <v>181040.64</v>
      </c>
      <c r="I9" s="150">
        <v>801.2</v>
      </c>
      <c r="J9" s="150">
        <f t="shared" si="7"/>
        <v>192288</v>
      </c>
      <c r="K9" s="151">
        <v>736</v>
      </c>
      <c r="L9" s="150">
        <f t="shared" si="8"/>
        <v>176640</v>
      </c>
      <c r="M9" s="150">
        <v>922.97</v>
      </c>
      <c r="N9" s="150">
        <f t="shared" si="9"/>
        <v>221512.8</v>
      </c>
      <c r="O9" s="150">
        <v>255.3</v>
      </c>
      <c r="P9" s="150">
        <f>+$F9*O9</f>
        <v>61272</v>
      </c>
      <c r="Q9" s="150">
        <v>720.96</v>
      </c>
      <c r="R9" s="150">
        <f t="shared" si="10"/>
        <v>173030.4</v>
      </c>
      <c r="S9" s="152">
        <v>656.778308</v>
      </c>
      <c r="T9" s="150">
        <f>+$F9*S9</f>
        <v>157626.79392</v>
      </c>
      <c r="U9" s="151">
        <v>638.42392</v>
      </c>
      <c r="V9" s="150">
        <f t="shared" si="11"/>
        <v>153221.7408</v>
      </c>
      <c r="W9" s="150">
        <v>650</v>
      </c>
      <c r="X9" s="150">
        <f>+$F9*W9</f>
        <v>156000</v>
      </c>
      <c r="Y9" s="150">
        <v>646</v>
      </c>
      <c r="Z9" s="150">
        <f t="shared" ref="Z9:AD9" si="14">+$F9*Y9</f>
        <v>155040</v>
      </c>
      <c r="AA9" s="153">
        <v>633.995956849558</v>
      </c>
      <c r="AB9" s="150">
        <f t="shared" si="14"/>
        <v>152159.029643894</v>
      </c>
      <c r="AC9" s="150">
        <v>754.06</v>
      </c>
      <c r="AD9" s="150">
        <f t="shared" si="14"/>
        <v>180974.4</v>
      </c>
      <c r="AE9" s="154">
        <f t="shared" si="13"/>
        <v>672.035714260531</v>
      </c>
      <c r="AF9" s="150">
        <f>+$F9*AE9</f>
        <v>161288.571422528</v>
      </c>
      <c r="AG9" s="155"/>
    </row>
    <row r="10" s="10" customFormat="1" ht="55" customHeight="1" outlineLevel="2" spans="1:36">
      <c r="A10" s="145">
        <v>1.3</v>
      </c>
      <c r="B10" s="146" t="s">
        <v>44</v>
      </c>
      <c r="C10" s="147" t="s">
        <v>45</v>
      </c>
      <c r="D10" s="147" t="s">
        <v>46</v>
      </c>
      <c r="E10" s="148" t="s">
        <v>47</v>
      </c>
      <c r="F10" s="149">
        <f>F8*3</f>
        <v>720</v>
      </c>
      <c r="G10" s="150">
        <v>48.785</v>
      </c>
      <c r="H10" s="150">
        <f t="shared" si="6"/>
        <v>35125.2</v>
      </c>
      <c r="I10" s="150">
        <v>30.2</v>
      </c>
      <c r="J10" s="150">
        <f t="shared" si="7"/>
        <v>21744</v>
      </c>
      <c r="K10" s="151">
        <v>42.42</v>
      </c>
      <c r="L10" s="150">
        <f t="shared" si="8"/>
        <v>30542.4</v>
      </c>
      <c r="M10" s="150">
        <v>46.14</v>
      </c>
      <c r="N10" s="150">
        <f t="shared" si="9"/>
        <v>33220.8</v>
      </c>
      <c r="O10" s="150">
        <v>16.65</v>
      </c>
      <c r="P10" s="150">
        <f>+$F10*O10</f>
        <v>11988</v>
      </c>
      <c r="Q10" s="150">
        <v>35.56</v>
      </c>
      <c r="R10" s="150">
        <f t="shared" si="10"/>
        <v>25603.2</v>
      </c>
      <c r="S10" s="152">
        <v>34.791978</v>
      </c>
      <c r="T10" s="150">
        <f>+$F10*S10</f>
        <v>25050.22416</v>
      </c>
      <c r="U10" s="151">
        <v>31.6928</v>
      </c>
      <c r="V10" s="150">
        <f t="shared" si="11"/>
        <v>22818.816</v>
      </c>
      <c r="W10" s="150">
        <v>30</v>
      </c>
      <c r="X10" s="150">
        <f>+$F10*W10</f>
        <v>21600</v>
      </c>
      <c r="Y10" s="150">
        <v>28.5</v>
      </c>
      <c r="Z10" s="150">
        <f t="shared" ref="Z10:AD10" si="15">+$F10*Y10</f>
        <v>20520</v>
      </c>
      <c r="AA10" s="153">
        <v>26.0001238938053</v>
      </c>
      <c r="AB10" s="150">
        <f t="shared" si="15"/>
        <v>18720.0892035398</v>
      </c>
      <c r="AC10" s="150">
        <v>27.19</v>
      </c>
      <c r="AD10" s="150">
        <f t="shared" si="15"/>
        <v>19576.8</v>
      </c>
      <c r="AE10" s="154">
        <f t="shared" si="13"/>
        <v>27.5601313274336</v>
      </c>
      <c r="AF10" s="150">
        <f>+$F10*AE10</f>
        <v>19843.2945557522</v>
      </c>
      <c r="AG10" s="155"/>
    </row>
    <row r="11" s="12" customFormat="1" ht="25" customHeight="1" outlineLevel="1" spans="1:36">
      <c r="A11" s="105">
        <v>2</v>
      </c>
      <c r="B11" s="106" t="s">
        <v>48</v>
      </c>
      <c r="C11" s="156"/>
      <c r="D11" s="105"/>
      <c r="E11" s="106"/>
      <c r="F11" s="128"/>
      <c r="G11" s="142"/>
      <c r="H11" s="142">
        <f t="shared" ref="H11:L11" si="16">SUM(H12:H16)</f>
        <v>12481678.12089</v>
      </c>
      <c r="I11" s="142"/>
      <c r="J11" s="142">
        <f t="shared" si="16"/>
        <v>11703768.448</v>
      </c>
      <c r="K11" s="111"/>
      <c r="L11" s="142">
        <f t="shared" si="16"/>
        <v>8390898.476</v>
      </c>
      <c r="M11" s="142"/>
      <c r="N11" s="142">
        <f>SUM(N12:N16)</f>
        <v>10152793.1978</v>
      </c>
      <c r="O11" s="142"/>
      <c r="P11" s="142">
        <f>SUM(P12:P16)</f>
        <v>7671810.177</v>
      </c>
      <c r="Q11" s="142"/>
      <c r="R11" s="142">
        <f t="shared" ref="R11:V11" si="17">SUM(R12:R16)</f>
        <v>7834799.9604</v>
      </c>
      <c r="S11" s="143"/>
      <c r="T11" s="142">
        <f t="shared" si="17"/>
        <v>9286887.10187802</v>
      </c>
      <c r="U11" s="111"/>
      <c r="V11" s="142">
        <f t="shared" si="17"/>
        <v>9192176.0892</v>
      </c>
      <c r="W11" s="142"/>
      <c r="X11" s="142">
        <f>SUM(X12:X16)</f>
        <v>6619912.14</v>
      </c>
      <c r="Y11" s="142"/>
      <c r="Z11" s="142">
        <f t="shared" ref="Z11:AD11" si="18">SUM(Z12:Z16)</f>
        <v>5925537.93</v>
      </c>
      <c r="AA11" s="137"/>
      <c r="AB11" s="142">
        <f t="shared" si="18"/>
        <v>6309225.50398686</v>
      </c>
      <c r="AC11" s="142"/>
      <c r="AD11" s="142">
        <f t="shared" si="18"/>
        <v>11250226.08</v>
      </c>
      <c r="AE11" s="144"/>
      <c r="AF11" s="142">
        <f>SUM(AF12:AF16)</f>
        <v>6687779.03422607</v>
      </c>
      <c r="AG11" s="106"/>
    </row>
    <row r="12" s="10" customFormat="1" ht="49" customHeight="1" outlineLevel="2" spans="1:36">
      <c r="A12" s="145">
        <v>2.1</v>
      </c>
      <c r="B12" s="148" t="s">
        <v>49</v>
      </c>
      <c r="C12" s="157" t="s">
        <v>50</v>
      </c>
      <c r="D12" s="158" t="s">
        <v>51</v>
      </c>
      <c r="E12" s="155" t="s">
        <v>52</v>
      </c>
      <c r="F12" s="149">
        <f>0.12*48000</f>
        <v>5760</v>
      </c>
      <c r="G12" s="150">
        <v>100.12575</v>
      </c>
      <c r="H12" s="150">
        <f t="shared" ref="H12:H16" si="19">+$F12*G12</f>
        <v>576724.32</v>
      </c>
      <c r="I12" s="150">
        <v>109.88</v>
      </c>
      <c r="J12" s="150">
        <f t="shared" ref="J12:J16" si="20">+$F12*I12</f>
        <v>632908.8</v>
      </c>
      <c r="K12" s="151">
        <v>51.49</v>
      </c>
      <c r="L12" s="150">
        <f t="shared" ref="L12:L16" si="21">+$F12*K12</f>
        <v>296582.4</v>
      </c>
      <c r="M12" s="150">
        <v>74.98</v>
      </c>
      <c r="N12" s="150">
        <f t="shared" ref="N12:N16" si="22">+$F12*M12</f>
        <v>431884.8</v>
      </c>
      <c r="O12" s="150">
        <v>74.1</v>
      </c>
      <c r="P12" s="150">
        <f>+$F12*O12</f>
        <v>426816</v>
      </c>
      <c r="Q12" s="150">
        <v>73</v>
      </c>
      <c r="R12" s="150">
        <f t="shared" ref="R12:R16" si="23">+$F12*Q12</f>
        <v>420480</v>
      </c>
      <c r="S12" s="152">
        <v>79.335398</v>
      </c>
      <c r="T12" s="150">
        <f>+$F12*S12</f>
        <v>456971.89248</v>
      </c>
      <c r="U12" s="151">
        <v>89.34</v>
      </c>
      <c r="V12" s="150">
        <f t="shared" ref="V12:V16" si="24">+$F12*U12</f>
        <v>514598.4</v>
      </c>
      <c r="W12" s="150">
        <v>58</v>
      </c>
      <c r="X12" s="150">
        <f>+$F12*W12</f>
        <v>334080</v>
      </c>
      <c r="Y12" s="150">
        <v>58</v>
      </c>
      <c r="Z12" s="150">
        <f t="shared" ref="Z12:AD12" si="25">+$F12*Y12</f>
        <v>334080</v>
      </c>
      <c r="AA12" s="153">
        <v>54.0036169936397</v>
      </c>
      <c r="AB12" s="150">
        <f t="shared" si="25"/>
        <v>311060.833883365</v>
      </c>
      <c r="AC12" s="150">
        <v>66.6133732638889</v>
      </c>
      <c r="AD12" s="150">
        <f t="shared" si="25"/>
        <v>383693.03</v>
      </c>
      <c r="AE12" s="154">
        <f t="shared" ref="AE12:AE16" si="26">+AA12*1.06</f>
        <v>57.2438340132581</v>
      </c>
      <c r="AF12" s="150">
        <f>+$F12*AE12</f>
        <v>329724.483916367</v>
      </c>
      <c r="AG12" s="155"/>
    </row>
    <row r="13" s="10" customFormat="1" ht="49" customHeight="1" outlineLevel="2" spans="1:36">
      <c r="A13" s="145">
        <v>2.5</v>
      </c>
      <c r="B13" s="148" t="s">
        <v>53</v>
      </c>
      <c r="C13" s="157"/>
      <c r="D13" s="158"/>
      <c r="E13" s="155" t="s">
        <v>52</v>
      </c>
      <c r="F13" s="149">
        <v>15096.77</v>
      </c>
      <c r="G13" s="150">
        <v>125.90675</v>
      </c>
      <c r="H13" s="150">
        <f t="shared" si="19"/>
        <v>1900785.2461975</v>
      </c>
      <c r="I13" s="150">
        <v>109.88</v>
      </c>
      <c r="J13" s="150">
        <f t="shared" si="20"/>
        <v>1658833.0876</v>
      </c>
      <c r="K13" s="151">
        <v>56.99</v>
      </c>
      <c r="L13" s="150">
        <f t="shared" si="21"/>
        <v>860364.9223</v>
      </c>
      <c r="M13" s="150">
        <v>87.37</v>
      </c>
      <c r="N13" s="150">
        <f t="shared" si="22"/>
        <v>1319004.7949</v>
      </c>
      <c r="O13" s="150">
        <v>79.8</v>
      </c>
      <c r="P13" s="150">
        <f>+$F13*O13</f>
        <v>1204722.246</v>
      </c>
      <c r="Q13" s="150">
        <v>73.35</v>
      </c>
      <c r="R13" s="150">
        <f t="shared" si="23"/>
        <v>1107348.0795</v>
      </c>
      <c r="S13" s="152">
        <v>102.340534</v>
      </c>
      <c r="T13" s="150">
        <f>+$F13*S13</f>
        <v>1545011.50347518</v>
      </c>
      <c r="U13" s="151">
        <v>89.34</v>
      </c>
      <c r="V13" s="150">
        <f t="shared" si="24"/>
        <v>1348745.4318</v>
      </c>
      <c r="W13" s="150">
        <v>90</v>
      </c>
      <c r="X13" s="150">
        <f>+$F13*W13</f>
        <v>1358709.3</v>
      </c>
      <c r="Y13" s="150">
        <v>86</v>
      </c>
      <c r="Z13" s="150">
        <f t="shared" ref="Z13:AD13" si="27">+$F13*Y13</f>
        <v>1298322.22</v>
      </c>
      <c r="AA13" s="153">
        <v>75.3026274</v>
      </c>
      <c r="AB13" s="150">
        <f t="shared" si="27"/>
        <v>1136826.4462535</v>
      </c>
      <c r="AC13" s="150">
        <v>88.2837991172946</v>
      </c>
      <c r="AD13" s="150">
        <f t="shared" si="27"/>
        <v>1332800.21</v>
      </c>
      <c r="AE13" s="154">
        <f t="shared" si="26"/>
        <v>79.820785044</v>
      </c>
      <c r="AF13" s="150">
        <f>+$F13*AE13</f>
        <v>1205036.03302871</v>
      </c>
      <c r="AG13" s="155"/>
    </row>
    <row r="14" s="10" customFormat="1" ht="49" customHeight="1" outlineLevel="2" spans="1:36">
      <c r="A14" s="145">
        <v>2.6</v>
      </c>
      <c r="B14" s="148" t="s">
        <v>54</v>
      </c>
      <c r="C14" s="157"/>
      <c r="D14" s="158"/>
      <c r="E14" s="155" t="s">
        <v>52</v>
      </c>
      <c r="F14" s="149">
        <v>54348.39</v>
      </c>
      <c r="G14" s="150">
        <v>124.83375</v>
      </c>
      <c r="H14" s="150">
        <f t="shared" si="19"/>
        <v>6784513.3301625</v>
      </c>
      <c r="I14" s="150">
        <v>116.28</v>
      </c>
      <c r="J14" s="150">
        <f t="shared" si="20"/>
        <v>6319630.7892</v>
      </c>
      <c r="K14" s="151">
        <v>83.39</v>
      </c>
      <c r="L14" s="150">
        <f t="shared" si="21"/>
        <v>4532112.2421</v>
      </c>
      <c r="M14" s="150">
        <v>99.91</v>
      </c>
      <c r="N14" s="150">
        <f t="shared" si="22"/>
        <v>5429947.6449</v>
      </c>
      <c r="O14" s="150">
        <v>74.1</v>
      </c>
      <c r="P14" s="150">
        <f>+$F14*O14</f>
        <v>4027215.699</v>
      </c>
      <c r="Q14" s="150">
        <v>78.83</v>
      </c>
      <c r="R14" s="150">
        <f t="shared" si="23"/>
        <v>4284283.5837</v>
      </c>
      <c r="S14" s="152">
        <v>89.126516</v>
      </c>
      <c r="T14" s="150">
        <f>+$F14*S14</f>
        <v>4843882.65090924</v>
      </c>
      <c r="U14" s="151">
        <v>91.46</v>
      </c>
      <c r="V14" s="150">
        <f t="shared" si="24"/>
        <v>4970703.7494</v>
      </c>
      <c r="W14" s="150">
        <v>60</v>
      </c>
      <c r="X14" s="150">
        <f>+$F14*W14</f>
        <v>3260903.4</v>
      </c>
      <c r="Y14" s="150">
        <v>53</v>
      </c>
      <c r="Z14" s="150">
        <f t="shared" ref="Z14:AD14" si="28">+$F14*Y14</f>
        <v>2880464.67</v>
      </c>
      <c r="AA14" s="153">
        <v>59.995</v>
      </c>
      <c r="AB14" s="150">
        <f t="shared" si="28"/>
        <v>3260631.65805</v>
      </c>
      <c r="AC14" s="150">
        <v>103.949799984875</v>
      </c>
      <c r="AD14" s="150">
        <f t="shared" si="28"/>
        <v>5649504.26999998</v>
      </c>
      <c r="AE14" s="154">
        <f t="shared" si="26"/>
        <v>63.5947</v>
      </c>
      <c r="AF14" s="150">
        <f>+$F14*AE14</f>
        <v>3456269.557533</v>
      </c>
      <c r="AG14" s="155"/>
    </row>
    <row r="15" s="10" customFormat="1" ht="49" customHeight="1" outlineLevel="2" spans="1:36">
      <c r="A15" s="145">
        <v>2.7</v>
      </c>
      <c r="B15" s="148" t="s">
        <v>55</v>
      </c>
      <c r="C15" s="157"/>
      <c r="D15" s="158"/>
      <c r="E15" s="155" t="s">
        <v>52</v>
      </c>
      <c r="F15" s="149">
        <v>24154.84</v>
      </c>
      <c r="G15" s="150">
        <v>127.76075</v>
      </c>
      <c r="H15" s="150">
        <f t="shared" si="19"/>
        <v>3086040.47453</v>
      </c>
      <c r="I15" s="150">
        <v>122.68</v>
      </c>
      <c r="J15" s="150">
        <f t="shared" si="20"/>
        <v>2963315.7712</v>
      </c>
      <c r="K15" s="151">
        <v>106.49</v>
      </c>
      <c r="L15" s="150">
        <f t="shared" si="21"/>
        <v>2572248.9116</v>
      </c>
      <c r="M15" s="150">
        <v>117.45</v>
      </c>
      <c r="N15" s="150">
        <f t="shared" si="22"/>
        <v>2836985.958</v>
      </c>
      <c r="O15" s="150">
        <v>79.8</v>
      </c>
      <c r="P15" s="150">
        <f>+$F15*O15</f>
        <v>1927556.232</v>
      </c>
      <c r="Q15" s="150">
        <v>80.33</v>
      </c>
      <c r="R15" s="150">
        <f t="shared" si="23"/>
        <v>1940358.2972</v>
      </c>
      <c r="S15" s="152">
        <v>96.73554</v>
      </c>
      <c r="T15" s="150">
        <f>+$F15*S15</f>
        <v>2336631.4910136</v>
      </c>
      <c r="U15" s="151">
        <v>93.7</v>
      </c>
      <c r="V15" s="150">
        <f t="shared" si="24"/>
        <v>2263308.508</v>
      </c>
      <c r="W15" s="150">
        <v>66</v>
      </c>
      <c r="X15" s="150">
        <f>+$F15*W15</f>
        <v>1594219.44</v>
      </c>
      <c r="Y15" s="150">
        <v>56</v>
      </c>
      <c r="Z15" s="150">
        <f t="shared" ref="Z15:AD15" si="29">+$F15*Y15</f>
        <v>1352671.04</v>
      </c>
      <c r="AA15" s="153">
        <v>63.495</v>
      </c>
      <c r="AB15" s="150">
        <f t="shared" si="29"/>
        <v>1533711.5658</v>
      </c>
      <c r="AC15" s="150">
        <v>153.643599792009</v>
      </c>
      <c r="AD15" s="150">
        <f t="shared" si="29"/>
        <v>3711236.57000001</v>
      </c>
      <c r="AE15" s="154">
        <f t="shared" si="26"/>
        <v>67.3047</v>
      </c>
      <c r="AF15" s="150">
        <f>+$F15*AE15</f>
        <v>1625734.259748</v>
      </c>
      <c r="AG15" s="155"/>
    </row>
    <row r="16" s="10" customFormat="1" ht="49" customHeight="1" outlineLevel="2" spans="1:36">
      <c r="A16" s="145">
        <v>2.8</v>
      </c>
      <c r="B16" s="148" t="s">
        <v>56</v>
      </c>
      <c r="C16" s="157"/>
      <c r="D16" s="158"/>
      <c r="E16" s="155" t="s">
        <v>52</v>
      </c>
      <c r="F16" s="149">
        <v>1000</v>
      </c>
      <c r="G16" s="150">
        <v>133.61475</v>
      </c>
      <c r="H16" s="150">
        <f t="shared" si="19"/>
        <v>133614.75</v>
      </c>
      <c r="I16" s="150">
        <v>129.08</v>
      </c>
      <c r="J16" s="150">
        <f t="shared" si="20"/>
        <v>129080</v>
      </c>
      <c r="K16" s="151">
        <v>129.59</v>
      </c>
      <c r="L16" s="150">
        <f t="shared" si="21"/>
        <v>129590</v>
      </c>
      <c r="M16" s="150">
        <v>134.97</v>
      </c>
      <c r="N16" s="150">
        <f t="shared" si="22"/>
        <v>134970</v>
      </c>
      <c r="O16" s="150">
        <v>85.5</v>
      </c>
      <c r="P16" s="150">
        <f>+$F16*O16</f>
        <v>85500</v>
      </c>
      <c r="Q16" s="150">
        <v>82.33</v>
      </c>
      <c r="R16" s="150">
        <f t="shared" si="23"/>
        <v>82330</v>
      </c>
      <c r="S16" s="152">
        <v>104.389564</v>
      </c>
      <c r="T16" s="150">
        <f>+$F16*S16</f>
        <v>104389.564</v>
      </c>
      <c r="U16" s="151">
        <v>94.82</v>
      </c>
      <c r="V16" s="150">
        <f t="shared" si="24"/>
        <v>94820</v>
      </c>
      <c r="W16" s="150">
        <v>72</v>
      </c>
      <c r="X16" s="150">
        <f>+$F16*W16</f>
        <v>72000</v>
      </c>
      <c r="Y16" s="150">
        <v>60</v>
      </c>
      <c r="Z16" s="150">
        <f t="shared" ref="Z16:AD16" si="30">+$F16*Y16</f>
        <v>60000</v>
      </c>
      <c r="AA16" s="153">
        <v>66.995</v>
      </c>
      <c r="AB16" s="150">
        <f t="shared" si="30"/>
        <v>66995</v>
      </c>
      <c r="AC16" s="150">
        <v>172.992</v>
      </c>
      <c r="AD16" s="150">
        <f t="shared" si="30"/>
        <v>172992</v>
      </c>
      <c r="AE16" s="154">
        <f t="shared" si="26"/>
        <v>71.0147</v>
      </c>
      <c r="AF16" s="150">
        <f>+$F16*AE16</f>
        <v>71014.7</v>
      </c>
      <c r="AG16" s="155"/>
    </row>
    <row r="17" s="12" customFormat="1" ht="25" customHeight="1" outlineLevel="1" spans="1:36">
      <c r="A17" s="105">
        <v>3</v>
      </c>
      <c r="B17" s="140" t="s">
        <v>57</v>
      </c>
      <c r="C17" s="141"/>
      <c r="D17" s="159"/>
      <c r="E17" s="106"/>
      <c r="F17" s="128"/>
      <c r="G17" s="142"/>
      <c r="H17" s="142">
        <f t="shared" ref="H17:L17" si="31">SUM(H18:H20)</f>
        <v>7112370.42</v>
      </c>
      <c r="I17" s="142"/>
      <c r="J17" s="142">
        <f t="shared" si="31"/>
        <v>4301200</v>
      </c>
      <c r="K17" s="111"/>
      <c r="L17" s="142">
        <f t="shared" si="31"/>
        <v>4374290</v>
      </c>
      <c r="M17" s="142"/>
      <c r="N17" s="142">
        <f>SUM(N18:N20)</f>
        <v>2860144</v>
      </c>
      <c r="O17" s="142"/>
      <c r="P17" s="142">
        <f>SUM(P18:P20)</f>
        <v>5158728</v>
      </c>
      <c r="Q17" s="142"/>
      <c r="R17" s="142">
        <f t="shared" ref="R17:V17" si="32">SUM(R18:R20)</f>
        <v>1909900</v>
      </c>
      <c r="S17" s="143"/>
      <c r="T17" s="142">
        <f t="shared" si="32"/>
        <v>2071648.9484</v>
      </c>
      <c r="U17" s="111"/>
      <c r="V17" s="142">
        <f t="shared" si="32"/>
        <v>1185048</v>
      </c>
      <c r="W17" s="142"/>
      <c r="X17" s="142">
        <f>SUM(X18:X20)</f>
        <v>2348200</v>
      </c>
      <c r="Y17" s="142"/>
      <c r="Z17" s="142">
        <f t="shared" ref="Z17:AD17" si="33">SUM(Z18:Z20)</f>
        <v>2009200</v>
      </c>
      <c r="AA17" s="137"/>
      <c r="AB17" s="142">
        <f t="shared" si="33"/>
        <v>2193449.16545455</v>
      </c>
      <c r="AC17" s="142"/>
      <c r="AD17" s="142">
        <f t="shared" si="33"/>
        <v>0</v>
      </c>
      <c r="AE17" s="144"/>
      <c r="AF17" s="142">
        <f>SUM(AF18:AF20)</f>
        <v>2325056.11538182</v>
      </c>
      <c r="AG17" s="106"/>
    </row>
    <row r="18" s="10" customFormat="1" ht="35" customHeight="1" outlineLevel="2" spans="1:36">
      <c r="A18" s="160">
        <v>3.1</v>
      </c>
      <c r="B18" s="148" t="s">
        <v>58</v>
      </c>
      <c r="C18" s="157" t="s">
        <v>59</v>
      </c>
      <c r="D18" s="158" t="s">
        <v>60</v>
      </c>
      <c r="E18" s="155" t="s">
        <v>42</v>
      </c>
      <c r="F18" s="149">
        <f>9600*6*3/2</f>
        <v>86400</v>
      </c>
      <c r="G18" s="150">
        <v>54.53825</v>
      </c>
      <c r="H18" s="150">
        <f t="shared" ref="H18:H20" si="34">+$F18*G18</f>
        <v>4712104.8</v>
      </c>
      <c r="I18" s="150">
        <v>31.84</v>
      </c>
      <c r="J18" s="150">
        <f t="shared" ref="J18:J20" si="35">+$F18*I18</f>
        <v>2750976</v>
      </c>
      <c r="K18" s="151">
        <v>33.35</v>
      </c>
      <c r="L18" s="150">
        <f t="shared" ref="L18:L20" si="36">+$F18*K18</f>
        <v>2881440</v>
      </c>
      <c r="M18" s="150">
        <v>21.35</v>
      </c>
      <c r="N18" s="150">
        <f t="shared" ref="N18:N20" si="37">+$F18*M18</f>
        <v>1844640</v>
      </c>
      <c r="O18" s="150">
        <v>39.9</v>
      </c>
      <c r="P18" s="150">
        <f>+$F18*O18</f>
        <v>3447360</v>
      </c>
      <c r="Q18" s="150">
        <v>14.6</v>
      </c>
      <c r="R18" s="150">
        <f t="shared" ref="R18:R20" si="38">+$F18*Q18</f>
        <v>1261440</v>
      </c>
      <c r="S18" s="152">
        <v>14.888</v>
      </c>
      <c r="T18" s="150">
        <f>+$F18*S18</f>
        <v>1286323.2</v>
      </c>
      <c r="U18" s="151">
        <v>8.72</v>
      </c>
      <c r="V18" s="150">
        <f t="shared" ref="V18:V20" si="39">+$F18*U18</f>
        <v>753408</v>
      </c>
      <c r="W18" s="150">
        <v>18</v>
      </c>
      <c r="X18" s="150">
        <f>+$F18*W18</f>
        <v>1555200</v>
      </c>
      <c r="Y18" s="150">
        <v>15</v>
      </c>
      <c r="Z18" s="150">
        <f t="shared" ref="Z18:AD18" si="40">+$F18*Y18</f>
        <v>1296000</v>
      </c>
      <c r="AA18" s="153">
        <v>16.69563</v>
      </c>
      <c r="AB18" s="150">
        <f t="shared" si="40"/>
        <v>1442502.432</v>
      </c>
      <c r="AC18" s="150"/>
      <c r="AD18" s="150">
        <f t="shared" si="40"/>
        <v>0</v>
      </c>
      <c r="AE18" s="154">
        <f t="shared" ref="AE18:AE20" si="41">+AA18*1.06</f>
        <v>17.6973678</v>
      </c>
      <c r="AF18" s="150">
        <f>+$F18*AE18</f>
        <v>1529052.57792</v>
      </c>
      <c r="AG18" s="155"/>
    </row>
    <row r="19" s="10" customFormat="1" ht="35" customHeight="1" outlineLevel="2" spans="1:36">
      <c r="A19" s="160">
        <v>3.2</v>
      </c>
      <c r="B19" s="148" t="s">
        <v>61</v>
      </c>
      <c r="C19" s="157"/>
      <c r="D19" s="158"/>
      <c r="E19" s="155" t="s">
        <v>42</v>
      </c>
      <c r="F19" s="149">
        <f>9600*8*1/2</f>
        <v>38400</v>
      </c>
      <c r="G19" s="150">
        <v>60.8313</v>
      </c>
      <c r="H19" s="150">
        <f t="shared" si="34"/>
        <v>2335921.92</v>
      </c>
      <c r="I19" s="150">
        <v>39.16</v>
      </c>
      <c r="J19" s="150">
        <f t="shared" si="35"/>
        <v>1503744</v>
      </c>
      <c r="K19" s="151">
        <v>37.75</v>
      </c>
      <c r="L19" s="150">
        <f t="shared" si="36"/>
        <v>1449600</v>
      </c>
      <c r="M19" s="150">
        <v>25.56</v>
      </c>
      <c r="N19" s="150">
        <f t="shared" si="37"/>
        <v>981504</v>
      </c>
      <c r="O19" s="150">
        <v>43.32</v>
      </c>
      <c r="P19" s="150">
        <f>+$F19*O19</f>
        <v>1663488</v>
      </c>
      <c r="Q19" s="150">
        <v>16.4</v>
      </c>
      <c r="R19" s="150">
        <f t="shared" si="38"/>
        <v>629760</v>
      </c>
      <c r="S19" s="152">
        <v>19.827156</v>
      </c>
      <c r="T19" s="150">
        <f>+$F19*S19</f>
        <v>761362.7904</v>
      </c>
      <c r="U19" s="151">
        <v>10.9</v>
      </c>
      <c r="V19" s="150">
        <f t="shared" si="39"/>
        <v>418560</v>
      </c>
      <c r="W19" s="150">
        <v>20</v>
      </c>
      <c r="X19" s="150">
        <f>+$F19*W19</f>
        <v>768000</v>
      </c>
      <c r="Y19" s="150">
        <v>18</v>
      </c>
      <c r="Z19" s="150">
        <f t="shared" ref="Z19:AD19" si="42">+$F19*Y19</f>
        <v>691200</v>
      </c>
      <c r="AA19" s="153">
        <v>18.996085</v>
      </c>
      <c r="AB19" s="150">
        <f t="shared" si="42"/>
        <v>729449.664</v>
      </c>
      <c r="AC19" s="150"/>
      <c r="AD19" s="150">
        <f t="shared" si="42"/>
        <v>0</v>
      </c>
      <c r="AE19" s="154">
        <f t="shared" si="41"/>
        <v>20.1358501</v>
      </c>
      <c r="AF19" s="150">
        <f>+$F19*AE19</f>
        <v>773216.64384</v>
      </c>
      <c r="AG19" s="155"/>
    </row>
    <row r="20" s="10" customFormat="1" ht="35" customHeight="1" outlineLevel="2" spans="1:36">
      <c r="A20" s="160">
        <v>3.3</v>
      </c>
      <c r="B20" s="148" t="s">
        <v>62</v>
      </c>
      <c r="C20" s="157"/>
      <c r="D20" s="158"/>
      <c r="E20" s="155" t="s">
        <v>42</v>
      </c>
      <c r="F20" s="149">
        <v>1000</v>
      </c>
      <c r="G20" s="150">
        <v>64.3437</v>
      </c>
      <c r="H20" s="150">
        <f t="shared" si="34"/>
        <v>64343.7</v>
      </c>
      <c r="I20" s="150">
        <v>46.48</v>
      </c>
      <c r="J20" s="150">
        <f t="shared" si="35"/>
        <v>46480</v>
      </c>
      <c r="K20" s="151">
        <v>43.25</v>
      </c>
      <c r="L20" s="150">
        <f t="shared" si="36"/>
        <v>43250</v>
      </c>
      <c r="M20" s="150">
        <v>34</v>
      </c>
      <c r="N20" s="150">
        <f t="shared" si="37"/>
        <v>34000</v>
      </c>
      <c r="O20" s="150">
        <v>47.88</v>
      </c>
      <c r="P20" s="150">
        <f>+$F20*O20</f>
        <v>47880</v>
      </c>
      <c r="Q20" s="150">
        <v>18.7</v>
      </c>
      <c r="R20" s="150">
        <f t="shared" si="38"/>
        <v>18700</v>
      </c>
      <c r="S20" s="152">
        <v>23.962958</v>
      </c>
      <c r="T20" s="150">
        <f>+$F20*S20</f>
        <v>23962.958</v>
      </c>
      <c r="U20" s="151">
        <v>13.08</v>
      </c>
      <c r="V20" s="150">
        <f t="shared" si="39"/>
        <v>13080</v>
      </c>
      <c r="W20" s="150">
        <v>25</v>
      </c>
      <c r="X20" s="150">
        <f>+$F20*W20</f>
        <v>25000</v>
      </c>
      <c r="Y20" s="150">
        <v>22</v>
      </c>
      <c r="Z20" s="150">
        <f t="shared" ref="Z20:AD20" si="43">+$F20*Y20</f>
        <v>22000</v>
      </c>
      <c r="AA20" s="153">
        <v>21.4970694545455</v>
      </c>
      <c r="AB20" s="150">
        <f t="shared" si="43"/>
        <v>21497.0694545455</v>
      </c>
      <c r="AC20" s="150"/>
      <c r="AD20" s="150">
        <f t="shared" si="43"/>
        <v>0</v>
      </c>
      <c r="AE20" s="154">
        <f t="shared" si="41"/>
        <v>22.7868936218182</v>
      </c>
      <c r="AF20" s="150">
        <f>+$F20*AE20</f>
        <v>22786.8936218182</v>
      </c>
      <c r="AG20" s="155"/>
    </row>
    <row r="21" s="12" customFormat="1" ht="25" customHeight="1" outlineLevel="1" spans="1:36">
      <c r="A21" s="105">
        <v>4</v>
      </c>
      <c r="B21" s="140" t="s">
        <v>63</v>
      </c>
      <c r="C21" s="141"/>
      <c r="D21" s="159"/>
      <c r="E21" s="106"/>
      <c r="F21" s="128"/>
      <c r="G21" s="142"/>
      <c r="H21" s="142">
        <f t="shared" ref="H21:L21" si="44">SUM(H22:H24)</f>
        <v>8469913.02</v>
      </c>
      <c r="I21" s="142"/>
      <c r="J21" s="142">
        <f t="shared" si="44"/>
        <v>5480080</v>
      </c>
      <c r="K21" s="111"/>
      <c r="L21" s="142">
        <f t="shared" si="44"/>
        <v>4995080</v>
      </c>
      <c r="M21" s="142"/>
      <c r="N21" s="142">
        <f>SUM(N22:N24)</f>
        <v>4512984</v>
      </c>
      <c r="O21" s="142"/>
      <c r="P21" s="142">
        <f>SUM(P22:P24)</f>
        <v>3908832</v>
      </c>
      <c r="Q21" s="142"/>
      <c r="R21" s="142">
        <f t="shared" ref="R21:V21" si="45">SUM(R22:R24)</f>
        <v>3576830</v>
      </c>
      <c r="S21" s="143"/>
      <c r="T21" s="142">
        <f t="shared" si="45"/>
        <v>2184560.7264</v>
      </c>
      <c r="U21" s="111"/>
      <c r="V21" s="142">
        <f t="shared" si="45"/>
        <v>3645716</v>
      </c>
      <c r="W21" s="142"/>
      <c r="X21" s="142">
        <f>SUM(X22:X24)</f>
        <v>3684000</v>
      </c>
      <c r="Y21" s="142"/>
      <c r="Z21" s="142">
        <f t="shared" ref="Z21:AD21" si="46">SUM(Z22:Z24)</f>
        <v>3266200</v>
      </c>
      <c r="AA21" s="137"/>
      <c r="AB21" s="142">
        <f t="shared" si="46"/>
        <v>2883589.16545455</v>
      </c>
      <c r="AC21" s="142"/>
      <c r="AD21" s="142">
        <f t="shared" si="46"/>
        <v>0</v>
      </c>
      <c r="AE21" s="144"/>
      <c r="AF21" s="142">
        <f>SUM(AF22:AF24)</f>
        <v>3056604.51538182</v>
      </c>
      <c r="AG21" s="106"/>
    </row>
    <row r="22" s="10" customFormat="1" ht="34" customHeight="1" outlineLevel="2" spans="1:36">
      <c r="A22" s="145">
        <v>4.1</v>
      </c>
      <c r="B22" s="148" t="s">
        <v>58</v>
      </c>
      <c r="C22" s="157" t="s">
        <v>64</v>
      </c>
      <c r="D22" s="158" t="s">
        <v>60</v>
      </c>
      <c r="E22" s="155" t="s">
        <v>42</v>
      </c>
      <c r="F22" s="149">
        <f>9600*6*3/2</f>
        <v>86400</v>
      </c>
      <c r="G22" s="150">
        <v>66.24625</v>
      </c>
      <c r="H22" s="150">
        <f t="shared" ref="H22:H24" si="47">+$F22*G22</f>
        <v>5723676</v>
      </c>
      <c r="I22" s="150">
        <v>40.8</v>
      </c>
      <c r="J22" s="150">
        <f t="shared" ref="J22:J24" si="48">+$F22*I22</f>
        <v>3525120</v>
      </c>
      <c r="K22" s="151">
        <v>39</v>
      </c>
      <c r="L22" s="150">
        <f t="shared" ref="L22:L24" si="49">+$F22*K22</f>
        <v>3369600</v>
      </c>
      <c r="M22" s="150">
        <v>34.11</v>
      </c>
      <c r="N22" s="150">
        <f t="shared" ref="N22:N24" si="50">+$F22*M22</f>
        <v>2947104</v>
      </c>
      <c r="O22" s="150">
        <v>28.5</v>
      </c>
      <c r="P22" s="150">
        <f>+$F22*O22</f>
        <v>2462400</v>
      </c>
      <c r="Q22" s="150">
        <v>28.1</v>
      </c>
      <c r="R22" s="150">
        <f t="shared" ref="R22:R24" si="51">+$F22*Q22</f>
        <v>2427840</v>
      </c>
      <c r="S22" s="152">
        <v>16.408208</v>
      </c>
      <c r="T22" s="150">
        <f>+$F22*S22</f>
        <v>1417669.1712</v>
      </c>
      <c r="U22" s="151">
        <v>28.46</v>
      </c>
      <c r="V22" s="150">
        <f t="shared" ref="V22:V24" si="52">+$F22*U22</f>
        <v>2458944</v>
      </c>
      <c r="W22" s="150">
        <v>28</v>
      </c>
      <c r="X22" s="150">
        <f>+$F22*W22</f>
        <v>2419200</v>
      </c>
      <c r="Y22" s="150">
        <v>25</v>
      </c>
      <c r="Z22" s="150">
        <f t="shared" ref="Z22:AD22" si="53">+$F22*Y22</f>
        <v>2160000</v>
      </c>
      <c r="AA22" s="153">
        <v>22.49563</v>
      </c>
      <c r="AB22" s="150">
        <f t="shared" si="53"/>
        <v>1943622.432</v>
      </c>
      <c r="AC22" s="150"/>
      <c r="AD22" s="150">
        <f t="shared" si="53"/>
        <v>0</v>
      </c>
      <c r="AE22" s="154">
        <f t="shared" ref="AE22:AE24" si="54">+AA22*1.06</f>
        <v>23.8453678</v>
      </c>
      <c r="AF22" s="150">
        <f>+$F22*AE22</f>
        <v>2060239.77792</v>
      </c>
      <c r="AG22" s="155"/>
    </row>
    <row r="23" s="10" customFormat="1" ht="34" customHeight="1" outlineLevel="2" spans="1:36">
      <c r="A23" s="145">
        <v>4.2</v>
      </c>
      <c r="B23" s="148" t="s">
        <v>61</v>
      </c>
      <c r="C23" s="157"/>
      <c r="D23" s="158"/>
      <c r="E23" s="155" t="s">
        <v>42</v>
      </c>
      <c r="F23" s="149">
        <f>9600*8*1/2</f>
        <v>38400</v>
      </c>
      <c r="G23" s="150">
        <v>69.6123</v>
      </c>
      <c r="H23" s="150">
        <f t="shared" si="47"/>
        <v>2673112.32</v>
      </c>
      <c r="I23" s="150">
        <v>49.4</v>
      </c>
      <c r="J23" s="150">
        <f t="shared" si="48"/>
        <v>1896960</v>
      </c>
      <c r="K23" s="151">
        <v>41.2</v>
      </c>
      <c r="L23" s="150">
        <f t="shared" si="49"/>
        <v>1582080</v>
      </c>
      <c r="M23" s="150">
        <v>39.6</v>
      </c>
      <c r="N23" s="150">
        <f t="shared" si="50"/>
        <v>1520640</v>
      </c>
      <c r="O23" s="150">
        <v>36.48</v>
      </c>
      <c r="P23" s="150">
        <f>+$F23*O23</f>
        <v>1400832</v>
      </c>
      <c r="Q23" s="150">
        <v>29.1</v>
      </c>
      <c r="R23" s="150">
        <f t="shared" si="51"/>
        <v>1117440</v>
      </c>
      <c r="S23" s="152">
        <v>19.388608</v>
      </c>
      <c r="T23" s="150">
        <f>+$F23*S23</f>
        <v>744522.5472</v>
      </c>
      <c r="U23" s="151">
        <v>30.08</v>
      </c>
      <c r="V23" s="150">
        <f t="shared" si="52"/>
        <v>1155072</v>
      </c>
      <c r="W23" s="150">
        <v>32</v>
      </c>
      <c r="X23" s="150">
        <f>+$F23*W23</f>
        <v>1228800</v>
      </c>
      <c r="Y23" s="150">
        <v>28</v>
      </c>
      <c r="Z23" s="150">
        <f t="shared" ref="Z23:AD23" si="55">+$F23*Y23</f>
        <v>1075200</v>
      </c>
      <c r="AA23" s="153">
        <v>23.796085</v>
      </c>
      <c r="AB23" s="150">
        <f t="shared" si="55"/>
        <v>913769.664</v>
      </c>
      <c r="AC23" s="150"/>
      <c r="AD23" s="150">
        <f t="shared" si="55"/>
        <v>0</v>
      </c>
      <c r="AE23" s="154">
        <f t="shared" si="54"/>
        <v>25.2238501</v>
      </c>
      <c r="AF23" s="150">
        <f>+$F23*AE23</f>
        <v>968595.84384</v>
      </c>
      <c r="AG23" s="155"/>
    </row>
    <row r="24" s="10" customFormat="1" ht="34" customHeight="1" outlineLevel="2" spans="1:36">
      <c r="A24" s="145">
        <v>4.3</v>
      </c>
      <c r="B24" s="148" t="s">
        <v>62</v>
      </c>
      <c r="C24" s="157"/>
      <c r="D24" s="158"/>
      <c r="E24" s="155" t="s">
        <v>42</v>
      </c>
      <c r="F24" s="149">
        <v>1000</v>
      </c>
      <c r="G24" s="150">
        <v>73.1247</v>
      </c>
      <c r="H24" s="150">
        <f t="shared" si="47"/>
        <v>73124.7</v>
      </c>
      <c r="I24" s="150">
        <v>58</v>
      </c>
      <c r="J24" s="150">
        <f t="shared" si="48"/>
        <v>58000</v>
      </c>
      <c r="K24" s="151">
        <v>43.4</v>
      </c>
      <c r="L24" s="150">
        <f t="shared" si="49"/>
        <v>43400</v>
      </c>
      <c r="M24" s="150">
        <v>45.24</v>
      </c>
      <c r="N24" s="150">
        <f t="shared" si="50"/>
        <v>45240</v>
      </c>
      <c r="O24" s="150">
        <v>45.6</v>
      </c>
      <c r="P24" s="150">
        <f>+$F24*O24</f>
        <v>45600</v>
      </c>
      <c r="Q24" s="150">
        <v>31.55</v>
      </c>
      <c r="R24" s="150">
        <f t="shared" si="51"/>
        <v>31550</v>
      </c>
      <c r="S24" s="152">
        <v>22.369008</v>
      </c>
      <c r="T24" s="150">
        <f>+$F24*S24</f>
        <v>22369.008</v>
      </c>
      <c r="U24" s="151">
        <v>31.7</v>
      </c>
      <c r="V24" s="150">
        <f t="shared" si="52"/>
        <v>31700</v>
      </c>
      <c r="W24" s="150">
        <v>36</v>
      </c>
      <c r="X24" s="150">
        <f>+$F24*W24</f>
        <v>36000</v>
      </c>
      <c r="Y24" s="150">
        <v>31</v>
      </c>
      <c r="Z24" s="150">
        <f t="shared" ref="Z24:AD24" si="56">+$F24*Y24</f>
        <v>31000</v>
      </c>
      <c r="AA24" s="153">
        <v>26.1970694545455</v>
      </c>
      <c r="AB24" s="150">
        <f t="shared" si="56"/>
        <v>26197.0694545455</v>
      </c>
      <c r="AC24" s="150"/>
      <c r="AD24" s="150">
        <f t="shared" si="56"/>
        <v>0</v>
      </c>
      <c r="AE24" s="154">
        <f t="shared" si="54"/>
        <v>27.7688936218182</v>
      </c>
      <c r="AF24" s="150">
        <f>+$F24*AE24</f>
        <v>27768.8936218182</v>
      </c>
      <c r="AG24" s="155"/>
    </row>
    <row r="25" s="85" customFormat="1" ht="25" customHeight="1" outlineLevel="1" spans="1:36">
      <c r="A25" s="161">
        <v>5</v>
      </c>
      <c r="B25" s="162" t="s">
        <v>65</v>
      </c>
      <c r="C25" s="50"/>
      <c r="D25" s="163"/>
      <c r="E25" s="162"/>
      <c r="F25" s="164"/>
      <c r="G25" s="165"/>
      <c r="H25" s="165">
        <f t="shared" ref="H25:L25" si="57">H7+H11+H17+H21</f>
        <v>28474854.76089</v>
      </c>
      <c r="I25" s="165"/>
      <c r="J25" s="165">
        <f t="shared" si="57"/>
        <v>21896559.144</v>
      </c>
      <c r="K25" s="166"/>
      <c r="L25" s="165">
        <f t="shared" si="57"/>
        <v>18149370.876</v>
      </c>
      <c r="M25" s="165"/>
      <c r="N25" s="165">
        <f>N7+N11+N17+N21</f>
        <v>17990093.1978</v>
      </c>
      <c r="O25" s="165"/>
      <c r="P25" s="165">
        <f>P7+P11+P17+P21</f>
        <v>16887222.177</v>
      </c>
      <c r="Q25" s="165"/>
      <c r="R25" s="165">
        <f t="shared" ref="R25:V25" si="58">R7+R11+R17+R21</f>
        <v>13714333.1604</v>
      </c>
      <c r="S25" s="167"/>
      <c r="T25" s="165">
        <f t="shared" si="58"/>
        <v>13957528.378758</v>
      </c>
      <c r="U25" s="166"/>
      <c r="V25" s="165">
        <f t="shared" si="58"/>
        <v>14353988.774</v>
      </c>
      <c r="W25" s="165"/>
      <c r="X25" s="165">
        <f>X7+X11+X17+X21</f>
        <v>12992912.14</v>
      </c>
      <c r="Y25" s="165"/>
      <c r="Z25" s="165">
        <f t="shared" ref="Z25:AD25" si="59">Z7+Z11+Z17+Z21</f>
        <v>11540177.93</v>
      </c>
      <c r="AA25" s="137"/>
      <c r="AB25" s="165">
        <f t="shared" si="59"/>
        <v>11712421.8386991</v>
      </c>
      <c r="AC25" s="165"/>
      <c r="AD25" s="165">
        <f t="shared" si="59"/>
        <v>11615172.48</v>
      </c>
      <c r="AE25" s="168"/>
      <c r="AF25" s="165">
        <f>AF7+AF11+AF17+AF21</f>
        <v>12415167.1490211</v>
      </c>
      <c r="AG25" s="162"/>
      <c r="AH25" s="12"/>
      <c r="AI25" s="12"/>
      <c r="AJ25" s="12"/>
    </row>
    <row r="26" s="85" customFormat="1" ht="25" customHeight="1" outlineLevel="1" spans="1:36">
      <c r="A26" s="161">
        <v>6</v>
      </c>
      <c r="B26" s="162" t="s">
        <v>66</v>
      </c>
      <c r="C26" s="50"/>
      <c r="D26" s="163"/>
      <c r="E26" s="162"/>
      <c r="F26" s="169"/>
      <c r="G26" s="170">
        <v>0.09</v>
      </c>
      <c r="H26" s="165">
        <f t="shared" ref="H26:L26" si="60">H25*G26</f>
        <v>2562736.9284801</v>
      </c>
      <c r="I26" s="170">
        <v>0.09</v>
      </c>
      <c r="J26" s="165">
        <f t="shared" si="60"/>
        <v>1970690.32296</v>
      </c>
      <c r="K26" s="171">
        <v>0.09</v>
      </c>
      <c r="L26" s="165">
        <f t="shared" si="60"/>
        <v>1633443.37884</v>
      </c>
      <c r="M26" s="170">
        <v>0.09</v>
      </c>
      <c r="N26" s="165">
        <f>N25*M26</f>
        <v>1619108.387802</v>
      </c>
      <c r="O26" s="170">
        <v>0.09</v>
      </c>
      <c r="P26" s="165">
        <f>P25*O26</f>
        <v>1519849.99593</v>
      </c>
      <c r="Q26" s="170">
        <v>0.09</v>
      </c>
      <c r="R26" s="165">
        <f t="shared" ref="R26:V26" si="61">R25*Q26</f>
        <v>1234289.984436</v>
      </c>
      <c r="S26" s="172">
        <v>0.03</v>
      </c>
      <c r="T26" s="165">
        <f t="shared" si="61"/>
        <v>418725.851362741</v>
      </c>
      <c r="U26" s="171">
        <v>0.03</v>
      </c>
      <c r="V26" s="165">
        <f t="shared" si="61"/>
        <v>430619.66322</v>
      </c>
      <c r="W26" s="170">
        <v>0.03</v>
      </c>
      <c r="X26" s="165">
        <f>X25*W26</f>
        <v>389787.3642</v>
      </c>
      <c r="Y26" s="170">
        <v>0.03</v>
      </c>
      <c r="Z26" s="165">
        <f t="shared" ref="Z26:AD26" si="62">Z25*Y26</f>
        <v>346205.3379</v>
      </c>
      <c r="AA26" s="173">
        <v>0.09</v>
      </c>
      <c r="AB26" s="165">
        <f t="shared" si="62"/>
        <v>1054117.96548292</v>
      </c>
      <c r="AC26" s="173">
        <v>0.09</v>
      </c>
      <c r="AD26" s="165">
        <f t="shared" si="62"/>
        <v>1045365.5232</v>
      </c>
      <c r="AE26" s="170">
        <v>0.09</v>
      </c>
      <c r="AF26" s="165">
        <f>AF25*AE26</f>
        <v>1117365.0434119</v>
      </c>
      <c r="AG26" s="162"/>
      <c r="AH26" s="12"/>
      <c r="AI26" s="12"/>
      <c r="AJ26" s="12"/>
    </row>
    <row r="27" s="85" customFormat="1" ht="25" customHeight="1" outlineLevel="1" spans="1:36">
      <c r="A27" s="161">
        <v>7</v>
      </c>
      <c r="B27" s="162" t="s">
        <v>67</v>
      </c>
      <c r="C27" s="50"/>
      <c r="D27" s="163"/>
      <c r="E27" s="162"/>
      <c r="F27" s="164"/>
      <c r="G27" s="165"/>
      <c r="H27" s="165">
        <f t="shared" ref="H27:L27" si="63">H25+H26</f>
        <v>31037591.6893701</v>
      </c>
      <c r="I27" s="165"/>
      <c r="J27" s="165">
        <f t="shared" si="63"/>
        <v>23867249.46696</v>
      </c>
      <c r="K27" s="166"/>
      <c r="L27" s="165">
        <f t="shared" si="63"/>
        <v>19782814.25484</v>
      </c>
      <c r="M27" s="165"/>
      <c r="N27" s="165">
        <f>N25+N26</f>
        <v>19609201.585602</v>
      </c>
      <c r="O27" s="165"/>
      <c r="P27" s="165">
        <f>P25+P26</f>
        <v>18407072.17293</v>
      </c>
      <c r="Q27" s="165"/>
      <c r="R27" s="165">
        <f t="shared" ref="R27:V27" si="64">R25+R26</f>
        <v>14948623.144836</v>
      </c>
      <c r="S27" s="167"/>
      <c r="T27" s="165">
        <f t="shared" si="64"/>
        <v>14376254.2301208</v>
      </c>
      <c r="U27" s="166"/>
      <c r="V27" s="165">
        <f t="shared" si="64"/>
        <v>14784608.43722</v>
      </c>
      <c r="W27" s="165"/>
      <c r="X27" s="165">
        <f>X25+X26</f>
        <v>13382699.5042</v>
      </c>
      <c r="Y27" s="165"/>
      <c r="Z27" s="165">
        <f t="shared" ref="Z27:AD27" si="65">Z25+Z26</f>
        <v>11886383.2679</v>
      </c>
      <c r="AA27" s="137"/>
      <c r="AB27" s="165">
        <f t="shared" si="65"/>
        <v>12766539.8041821</v>
      </c>
      <c r="AC27" s="165"/>
      <c r="AD27" s="165">
        <f t="shared" si="65"/>
        <v>12660538.0032</v>
      </c>
      <c r="AE27" s="168"/>
      <c r="AF27" s="165">
        <f>AF25+AF26</f>
        <v>13532532.192433</v>
      </c>
      <c r="AG27" s="162"/>
      <c r="AH27" s="12"/>
      <c r="AI27" s="12"/>
      <c r="AJ27" s="12"/>
    </row>
    <row r="28" s="84" customFormat="1" ht="35" customHeight="1" spans="1:36">
      <c r="A28" s="174" t="s">
        <v>68</v>
      </c>
      <c r="B28" s="132" t="s">
        <v>69</v>
      </c>
      <c r="C28" s="175"/>
      <c r="D28" s="131"/>
      <c r="E28" s="132"/>
      <c r="F28" s="133"/>
      <c r="G28" s="134"/>
      <c r="H28" s="134">
        <f t="shared" ref="H28:L28" si="66">H45</f>
        <v>9268046.9246875</v>
      </c>
      <c r="I28" s="134"/>
      <c r="J28" s="134">
        <f t="shared" si="66"/>
        <v>6277221.04728</v>
      </c>
      <c r="K28" s="135"/>
      <c r="L28" s="134">
        <f t="shared" si="66"/>
        <v>6443593.86</v>
      </c>
      <c r="M28" s="134"/>
      <c r="N28" s="134">
        <f>N45</f>
        <v>6687052.68262</v>
      </c>
      <c r="O28" s="134"/>
      <c r="P28" s="134">
        <f>P45</f>
        <v>6131029.8636</v>
      </c>
      <c r="Q28" s="134"/>
      <c r="R28" s="134">
        <f t="shared" ref="R28:V28" si="67">R45</f>
        <v>7582833.1712</v>
      </c>
      <c r="S28" s="136"/>
      <c r="T28" s="134">
        <f t="shared" si="67"/>
        <v>6796011.14307232</v>
      </c>
      <c r="U28" s="135"/>
      <c r="V28" s="134">
        <f t="shared" si="67"/>
        <v>6359712.9803304</v>
      </c>
      <c r="W28" s="134"/>
      <c r="X28" s="134">
        <f>X45</f>
        <v>5683568.016</v>
      </c>
      <c r="Y28" s="134"/>
      <c r="Z28" s="134">
        <f t="shared" ref="Z28:AD28" si="68">Z45</f>
        <v>5164523</v>
      </c>
      <c r="AA28" s="137"/>
      <c r="AB28" s="134">
        <f t="shared" si="68"/>
        <v>4851723.29778628</v>
      </c>
      <c r="AC28" s="134"/>
      <c r="AD28" s="134">
        <f t="shared" si="68"/>
        <v>6141763.50399169</v>
      </c>
      <c r="AE28" s="138"/>
      <c r="AF28" s="134">
        <f>AF45</f>
        <v>4859735.31791106</v>
      </c>
      <c r="AG28" s="176"/>
      <c r="AH28" s="139"/>
      <c r="AI28" s="139"/>
      <c r="AJ28" s="139"/>
    </row>
    <row r="29" s="12" customFormat="1" ht="25" customHeight="1" outlineLevel="1" spans="1:36">
      <c r="A29" s="105">
        <v>1</v>
      </c>
      <c r="B29" s="106" t="s">
        <v>70</v>
      </c>
      <c r="C29" s="156"/>
      <c r="D29" s="141"/>
      <c r="E29" s="106"/>
      <c r="F29" s="128"/>
      <c r="G29" s="142"/>
      <c r="H29" s="142">
        <f t="shared" ref="H29:L29" si="69">SUM(H30:H37)</f>
        <v>6273508.84375</v>
      </c>
      <c r="I29" s="142"/>
      <c r="J29" s="142">
        <f t="shared" si="69"/>
        <v>4302022.392</v>
      </c>
      <c r="K29" s="111"/>
      <c r="L29" s="142">
        <f t="shared" si="69"/>
        <v>4476648</v>
      </c>
      <c r="M29" s="142"/>
      <c r="N29" s="142">
        <f>SUM(N30:N37)</f>
        <v>3879982.918</v>
      </c>
      <c r="O29" s="142"/>
      <c r="P29" s="142">
        <f>SUM(P30:P37)</f>
        <v>4304453.04</v>
      </c>
      <c r="Q29" s="142"/>
      <c r="R29" s="142">
        <f t="shared" ref="R29:V29" si="70">SUM(R30:R37)</f>
        <v>4758039.68</v>
      </c>
      <c r="S29" s="143"/>
      <c r="T29" s="142">
        <f t="shared" si="70"/>
        <v>4369531.694944</v>
      </c>
      <c r="U29" s="111"/>
      <c r="V29" s="142">
        <f t="shared" si="70"/>
        <v>3625313.82168</v>
      </c>
      <c r="W29" s="142"/>
      <c r="X29" s="142">
        <f>SUM(X30:X37)</f>
        <v>4038427.2</v>
      </c>
      <c r="Y29" s="142"/>
      <c r="Z29" s="142">
        <f t="shared" ref="Z29:AD29" si="71">SUM(Z30:Z37)</f>
        <v>3717860</v>
      </c>
      <c r="AA29" s="137"/>
      <c r="AB29" s="142">
        <f t="shared" si="71"/>
        <v>3336733.4</v>
      </c>
      <c r="AC29" s="142"/>
      <c r="AD29" s="142">
        <f t="shared" si="71"/>
        <v>3524106.83799999</v>
      </c>
      <c r="AE29" s="144"/>
      <c r="AF29" s="142">
        <f>SUM(AF30:AF37)</f>
        <v>3536937.404</v>
      </c>
      <c r="AG29" s="106"/>
    </row>
    <row r="30" s="10" customFormat="1" ht="89" customHeight="1" outlineLevel="2" spans="1:36">
      <c r="A30" s="148">
        <v>5.1</v>
      </c>
      <c r="B30" s="72" t="s">
        <v>71</v>
      </c>
      <c r="C30" s="157" t="s">
        <v>72</v>
      </c>
      <c r="D30" s="157" t="s">
        <v>73</v>
      </c>
      <c r="E30" s="148" t="s">
        <v>74</v>
      </c>
      <c r="F30" s="149">
        <f>0.0065*48000</f>
        <v>312</v>
      </c>
      <c r="G30" s="150">
        <v>1728.475</v>
      </c>
      <c r="H30" s="150">
        <f t="shared" ref="H30:H37" si="72">+$F30*G30</f>
        <v>539284.2</v>
      </c>
      <c r="I30" s="150">
        <v>1216</v>
      </c>
      <c r="J30" s="150">
        <f t="shared" ref="J30:J37" si="73">+$F30*I30</f>
        <v>379392</v>
      </c>
      <c r="K30" s="151">
        <v>1100</v>
      </c>
      <c r="L30" s="150">
        <f t="shared" ref="L30:L37" si="74">+$F30*K30</f>
        <v>343200</v>
      </c>
      <c r="M30" s="150">
        <v>1160.38</v>
      </c>
      <c r="N30" s="150">
        <f t="shared" ref="N30:N37" si="75">+$F30*M30</f>
        <v>362038.56</v>
      </c>
      <c r="O30" s="150">
        <v>1054.5</v>
      </c>
      <c r="P30" s="150">
        <f t="shared" ref="P30:P37" si="76">+$F30*O30</f>
        <v>329004</v>
      </c>
      <c r="Q30" s="150">
        <v>1251</v>
      </c>
      <c r="R30" s="150">
        <f t="shared" ref="R30:R37" si="77">+$F30*Q30</f>
        <v>390312</v>
      </c>
      <c r="S30" s="152">
        <v>1227.876</v>
      </c>
      <c r="T30" s="150">
        <f t="shared" ref="T30:T37" si="78">+$F30*S30</f>
        <v>383097.312</v>
      </c>
      <c r="U30" s="151">
        <v>1079.292</v>
      </c>
      <c r="V30" s="150">
        <f t="shared" ref="V30:V37" si="79">+$F30*U30</f>
        <v>336739.104</v>
      </c>
      <c r="W30" s="150">
        <v>938</v>
      </c>
      <c r="X30" s="150">
        <f t="shared" ref="X30:X37" si="80">+$F30*W30</f>
        <v>292656</v>
      </c>
      <c r="Y30" s="150">
        <v>916</v>
      </c>
      <c r="Z30" s="150">
        <f t="shared" ref="Z30:Z37" si="81">+$F30*Y30</f>
        <v>285792</v>
      </c>
      <c r="AA30" s="153">
        <v>900</v>
      </c>
      <c r="AB30" s="150">
        <f t="shared" ref="AB30:AB37" si="82">+$F30*AA30</f>
        <v>280800</v>
      </c>
      <c r="AC30" s="150">
        <v>1103.36295353982</v>
      </c>
      <c r="AD30" s="150">
        <f t="shared" ref="AD30:AD37" si="83">+$F30*AC30</f>
        <v>344249.241504424</v>
      </c>
      <c r="AE30" s="154">
        <f t="shared" ref="AE30:AE37" si="84">+AA30*1.06</f>
        <v>954</v>
      </c>
      <c r="AF30" s="150">
        <f t="shared" ref="AF30:AF37" si="85">+$F30*AE30</f>
        <v>297648</v>
      </c>
      <c r="AG30" s="155"/>
    </row>
    <row r="31" s="10" customFormat="1" ht="94" customHeight="1" outlineLevel="2" spans="1:36">
      <c r="A31" s="148">
        <v>5.2</v>
      </c>
      <c r="B31" s="148" t="s">
        <v>75</v>
      </c>
      <c r="C31" s="157"/>
      <c r="D31" s="157" t="s">
        <v>76</v>
      </c>
      <c r="E31" s="148" t="s">
        <v>74</v>
      </c>
      <c r="F31" s="149">
        <f>48000*50/1000</f>
        <v>2400</v>
      </c>
      <c r="G31" s="150">
        <v>1802.85</v>
      </c>
      <c r="H31" s="150">
        <f t="shared" si="72"/>
        <v>4326840</v>
      </c>
      <c r="I31" s="150">
        <v>1228.8</v>
      </c>
      <c r="J31" s="150">
        <f t="shared" si="73"/>
        <v>2949120</v>
      </c>
      <c r="K31" s="151">
        <v>1210</v>
      </c>
      <c r="L31" s="150">
        <f t="shared" si="74"/>
        <v>2904000</v>
      </c>
      <c r="M31" s="150">
        <v>1160.38</v>
      </c>
      <c r="N31" s="150">
        <f t="shared" si="75"/>
        <v>2784912</v>
      </c>
      <c r="O31" s="150">
        <v>1221</v>
      </c>
      <c r="P31" s="150">
        <f t="shared" si="76"/>
        <v>2930400</v>
      </c>
      <c r="Q31" s="150">
        <v>1490.1</v>
      </c>
      <c r="R31" s="150">
        <f t="shared" si="77"/>
        <v>3576240</v>
      </c>
      <c r="S31" s="152">
        <v>1310.3144</v>
      </c>
      <c r="T31" s="150">
        <f t="shared" si="78"/>
        <v>3144754.56</v>
      </c>
      <c r="U31" s="151">
        <v>1079.292</v>
      </c>
      <c r="V31" s="150">
        <f t="shared" si="79"/>
        <v>2590300.8</v>
      </c>
      <c r="W31" s="150">
        <v>1230</v>
      </c>
      <c r="X31" s="150">
        <f t="shared" si="80"/>
        <v>2952000</v>
      </c>
      <c r="Y31" s="150">
        <v>1120</v>
      </c>
      <c r="Z31" s="150">
        <f t="shared" si="81"/>
        <v>2688000</v>
      </c>
      <c r="AA31" s="153">
        <v>1020</v>
      </c>
      <c r="AB31" s="150">
        <f t="shared" si="82"/>
        <v>2448000</v>
      </c>
      <c r="AC31" s="150">
        <f>+AC30</f>
        <v>1103.36295353982</v>
      </c>
      <c r="AD31" s="150">
        <f t="shared" si="83"/>
        <v>2648071.08849557</v>
      </c>
      <c r="AE31" s="154">
        <f t="shared" si="84"/>
        <v>1081.2</v>
      </c>
      <c r="AF31" s="150">
        <f t="shared" si="85"/>
        <v>2594880</v>
      </c>
      <c r="AG31" s="155"/>
    </row>
    <row r="32" s="10" customFormat="1" ht="39" customHeight="1" outlineLevel="2" spans="1:36">
      <c r="A32" s="148">
        <v>5.3</v>
      </c>
      <c r="B32" s="148" t="s">
        <v>77</v>
      </c>
      <c r="C32" s="157" t="s">
        <v>78</v>
      </c>
      <c r="D32" s="157" t="s">
        <v>79</v>
      </c>
      <c r="E32" s="148" t="s">
        <v>80</v>
      </c>
      <c r="F32" s="149">
        <v>10000</v>
      </c>
      <c r="G32" s="150">
        <v>19.91625</v>
      </c>
      <c r="H32" s="150">
        <f t="shared" si="72"/>
        <v>199162.5</v>
      </c>
      <c r="I32" s="150">
        <v>18.455</v>
      </c>
      <c r="J32" s="150">
        <f t="shared" si="73"/>
        <v>184550</v>
      </c>
      <c r="K32" s="151">
        <v>11</v>
      </c>
      <c r="L32" s="150">
        <f t="shared" si="74"/>
        <v>110000</v>
      </c>
      <c r="M32" s="150">
        <v>16.28</v>
      </c>
      <c r="N32" s="150">
        <f t="shared" si="75"/>
        <v>162800</v>
      </c>
      <c r="O32" s="150">
        <v>13.68</v>
      </c>
      <c r="P32" s="150">
        <f t="shared" si="76"/>
        <v>136800</v>
      </c>
      <c r="Q32" s="150">
        <v>14.35</v>
      </c>
      <c r="R32" s="150">
        <f t="shared" si="77"/>
        <v>143500</v>
      </c>
      <c r="S32" s="152">
        <v>10.379908</v>
      </c>
      <c r="T32" s="150">
        <f t="shared" si="78"/>
        <v>103799.08</v>
      </c>
      <c r="U32" s="151">
        <v>13.61</v>
      </c>
      <c r="V32" s="150">
        <f t="shared" si="79"/>
        <v>136100</v>
      </c>
      <c r="W32" s="150">
        <v>15</v>
      </c>
      <c r="X32" s="150">
        <f t="shared" si="80"/>
        <v>150000</v>
      </c>
      <c r="Y32" s="150">
        <v>14</v>
      </c>
      <c r="Z32" s="150">
        <f t="shared" si="81"/>
        <v>140000</v>
      </c>
      <c r="AA32" s="153">
        <v>7.79545</v>
      </c>
      <c r="AB32" s="150">
        <f t="shared" si="82"/>
        <v>77954.5</v>
      </c>
      <c r="AC32" s="150">
        <v>15.35</v>
      </c>
      <c r="AD32" s="150">
        <f t="shared" si="83"/>
        <v>153500</v>
      </c>
      <c r="AE32" s="154">
        <f t="shared" si="84"/>
        <v>8.263177</v>
      </c>
      <c r="AF32" s="150">
        <f t="shared" si="85"/>
        <v>82631.77</v>
      </c>
      <c r="AG32" s="155"/>
    </row>
    <row r="33" s="10" customFormat="1" ht="39" customHeight="1" outlineLevel="2" spans="1:36">
      <c r="A33" s="148">
        <v>5.4</v>
      </c>
      <c r="B33" s="148" t="s">
        <v>81</v>
      </c>
      <c r="C33" s="157" t="s">
        <v>78</v>
      </c>
      <c r="D33" s="157" t="s">
        <v>79</v>
      </c>
      <c r="E33" s="148" t="s">
        <v>80</v>
      </c>
      <c r="F33" s="149">
        <v>1000</v>
      </c>
      <c r="G33" s="150">
        <v>22.40375</v>
      </c>
      <c r="H33" s="150">
        <f t="shared" si="72"/>
        <v>22403.75</v>
      </c>
      <c r="I33" s="150">
        <v>20.725</v>
      </c>
      <c r="J33" s="150">
        <f t="shared" si="73"/>
        <v>20725</v>
      </c>
      <c r="K33" s="151">
        <v>14.3</v>
      </c>
      <c r="L33" s="150">
        <f t="shared" si="74"/>
        <v>14300</v>
      </c>
      <c r="M33" s="150">
        <v>21.2</v>
      </c>
      <c r="N33" s="150">
        <f t="shared" si="75"/>
        <v>21200</v>
      </c>
      <c r="O33" s="150">
        <v>15.96</v>
      </c>
      <c r="P33" s="150">
        <f t="shared" si="76"/>
        <v>15960</v>
      </c>
      <c r="Q33" s="150">
        <v>17.9</v>
      </c>
      <c r="R33" s="150">
        <f t="shared" si="77"/>
        <v>17900</v>
      </c>
      <c r="S33" s="152">
        <v>12.37168</v>
      </c>
      <c r="T33" s="150">
        <f t="shared" si="78"/>
        <v>12371.68</v>
      </c>
      <c r="U33" s="151">
        <v>17.38</v>
      </c>
      <c r="V33" s="150">
        <f t="shared" si="79"/>
        <v>17380</v>
      </c>
      <c r="W33" s="150">
        <v>20</v>
      </c>
      <c r="X33" s="150">
        <f t="shared" si="80"/>
        <v>20000</v>
      </c>
      <c r="Y33" s="150">
        <v>18</v>
      </c>
      <c r="Z33" s="150">
        <f t="shared" si="81"/>
        <v>18000</v>
      </c>
      <c r="AA33" s="153">
        <v>10.9957</v>
      </c>
      <c r="AB33" s="150">
        <f t="shared" si="82"/>
        <v>10995.7</v>
      </c>
      <c r="AC33" s="150">
        <v>20.06</v>
      </c>
      <c r="AD33" s="150">
        <f t="shared" si="83"/>
        <v>20060</v>
      </c>
      <c r="AE33" s="154">
        <f t="shared" si="84"/>
        <v>11.655442</v>
      </c>
      <c r="AF33" s="150">
        <f t="shared" si="85"/>
        <v>11655.442</v>
      </c>
      <c r="AG33" s="155"/>
    </row>
    <row r="34" s="10" customFormat="1" ht="39" customHeight="1" outlineLevel="2" spans="1:36">
      <c r="A34" s="148">
        <v>5.5</v>
      </c>
      <c r="B34" s="148" t="s">
        <v>82</v>
      </c>
      <c r="C34" s="157" t="s">
        <v>78</v>
      </c>
      <c r="D34" s="157" t="s">
        <v>79</v>
      </c>
      <c r="E34" s="148" t="s">
        <v>80</v>
      </c>
      <c r="F34" s="149">
        <v>12000</v>
      </c>
      <c r="G34" s="150">
        <v>12.866875</v>
      </c>
      <c r="H34" s="150">
        <f t="shared" si="72"/>
        <v>154402.5</v>
      </c>
      <c r="I34" s="150">
        <v>15.4</v>
      </c>
      <c r="J34" s="150">
        <f t="shared" si="73"/>
        <v>184800</v>
      </c>
      <c r="K34" s="151">
        <v>12.1</v>
      </c>
      <c r="L34" s="150">
        <f t="shared" si="74"/>
        <v>145200</v>
      </c>
      <c r="M34" s="150">
        <v>7.91</v>
      </c>
      <c r="N34" s="150">
        <f t="shared" si="75"/>
        <v>94920</v>
      </c>
      <c r="O34" s="150">
        <v>8.88</v>
      </c>
      <c r="P34" s="150">
        <f t="shared" si="76"/>
        <v>106560</v>
      </c>
      <c r="Q34" s="150">
        <v>7.75</v>
      </c>
      <c r="R34" s="150">
        <f t="shared" si="77"/>
        <v>93000</v>
      </c>
      <c r="S34" s="152">
        <v>6.907928</v>
      </c>
      <c r="T34" s="150">
        <f t="shared" si="78"/>
        <v>82895.136</v>
      </c>
      <c r="U34" s="151">
        <v>6.136</v>
      </c>
      <c r="V34" s="150">
        <f t="shared" si="79"/>
        <v>73632</v>
      </c>
      <c r="W34" s="150">
        <v>5</v>
      </c>
      <c r="X34" s="150">
        <f t="shared" si="80"/>
        <v>60000</v>
      </c>
      <c r="Y34" s="150">
        <v>4.8</v>
      </c>
      <c r="Z34" s="150">
        <f t="shared" si="81"/>
        <v>57600</v>
      </c>
      <c r="AA34" s="153">
        <v>3.6</v>
      </c>
      <c r="AB34" s="150">
        <f t="shared" si="82"/>
        <v>43200</v>
      </c>
      <c r="AC34" s="150">
        <v>8.96</v>
      </c>
      <c r="AD34" s="150">
        <f t="shared" si="83"/>
        <v>107520</v>
      </c>
      <c r="AE34" s="154">
        <f t="shared" si="84"/>
        <v>3.816</v>
      </c>
      <c r="AF34" s="150">
        <f t="shared" si="85"/>
        <v>45792</v>
      </c>
      <c r="AG34" s="155"/>
    </row>
    <row r="35" s="10" customFormat="1" ht="39" customHeight="1" outlineLevel="2" spans="1:36">
      <c r="A35" s="148">
        <v>5.6</v>
      </c>
      <c r="B35" s="148" t="s">
        <v>83</v>
      </c>
      <c r="C35" s="157" t="s">
        <v>84</v>
      </c>
      <c r="D35" s="157" t="s">
        <v>85</v>
      </c>
      <c r="E35" s="148" t="s">
        <v>74</v>
      </c>
      <c r="F35" s="149">
        <v>425.54</v>
      </c>
      <c r="G35" s="150">
        <v>2268.4375</v>
      </c>
      <c r="H35" s="150">
        <f t="shared" si="72"/>
        <v>965310.89375</v>
      </c>
      <c r="I35" s="150">
        <v>1228.8</v>
      </c>
      <c r="J35" s="150">
        <f t="shared" si="73"/>
        <v>522903.552</v>
      </c>
      <c r="K35" s="151">
        <v>2200</v>
      </c>
      <c r="L35" s="150">
        <f t="shared" si="74"/>
        <v>936188</v>
      </c>
      <c r="M35" s="150">
        <v>932.7</v>
      </c>
      <c r="N35" s="150">
        <f t="shared" si="75"/>
        <v>396901.158</v>
      </c>
      <c r="O35" s="150">
        <v>1776</v>
      </c>
      <c r="P35" s="150">
        <f t="shared" si="76"/>
        <v>755759.04</v>
      </c>
      <c r="Q35" s="150">
        <v>1192</v>
      </c>
      <c r="R35" s="150">
        <f t="shared" si="77"/>
        <v>507243.68</v>
      </c>
      <c r="S35" s="152">
        <v>1465.3936</v>
      </c>
      <c r="T35" s="150">
        <f t="shared" si="78"/>
        <v>623583.592544</v>
      </c>
      <c r="U35" s="151">
        <v>1079.292</v>
      </c>
      <c r="V35" s="150">
        <f t="shared" si="79"/>
        <v>459281.91768</v>
      </c>
      <c r="W35" s="150">
        <v>1280</v>
      </c>
      <c r="X35" s="150">
        <f t="shared" si="80"/>
        <v>544691.2</v>
      </c>
      <c r="Y35" s="150">
        <v>1200</v>
      </c>
      <c r="Z35" s="150">
        <f t="shared" si="81"/>
        <v>510648</v>
      </c>
      <c r="AA35" s="153">
        <v>1080</v>
      </c>
      <c r="AB35" s="150">
        <f t="shared" si="82"/>
        <v>459583.2</v>
      </c>
      <c r="AC35" s="150">
        <v>550.2</v>
      </c>
      <c r="AD35" s="150">
        <f t="shared" si="83"/>
        <v>234132.108</v>
      </c>
      <c r="AE35" s="154">
        <f t="shared" si="84"/>
        <v>1144.8</v>
      </c>
      <c r="AF35" s="150">
        <f t="shared" si="85"/>
        <v>487158.192</v>
      </c>
      <c r="AG35" s="155"/>
    </row>
    <row r="36" s="10" customFormat="1" ht="39" customHeight="1" outlineLevel="2" spans="1:36">
      <c r="A36" s="148">
        <v>5.7</v>
      </c>
      <c r="B36" s="148" t="s">
        <v>86</v>
      </c>
      <c r="C36" s="157" t="s">
        <v>87</v>
      </c>
      <c r="D36" s="157" t="s">
        <v>88</v>
      </c>
      <c r="E36" s="148" t="s">
        <v>89</v>
      </c>
      <c r="F36" s="149">
        <f>36*5*2</f>
        <v>360</v>
      </c>
      <c r="G36" s="150">
        <v>116.6875</v>
      </c>
      <c r="H36" s="150">
        <f t="shared" si="72"/>
        <v>42007.5</v>
      </c>
      <c r="I36" s="150">
        <v>87.92</v>
      </c>
      <c r="J36" s="150">
        <f t="shared" si="73"/>
        <v>31651.2</v>
      </c>
      <c r="K36" s="151">
        <v>41.8</v>
      </c>
      <c r="L36" s="150">
        <f t="shared" si="74"/>
        <v>15048</v>
      </c>
      <c r="M36" s="150">
        <v>81.05</v>
      </c>
      <c r="N36" s="150">
        <f t="shared" si="75"/>
        <v>29178</v>
      </c>
      <c r="O36" s="150">
        <v>53.28</v>
      </c>
      <c r="P36" s="150">
        <f t="shared" si="76"/>
        <v>19180.8</v>
      </c>
      <c r="Q36" s="150">
        <v>41.7</v>
      </c>
      <c r="R36" s="150">
        <f t="shared" si="77"/>
        <v>15012</v>
      </c>
      <c r="S36" s="152">
        <v>31.17416</v>
      </c>
      <c r="T36" s="150">
        <f t="shared" si="78"/>
        <v>11222.6976</v>
      </c>
      <c r="U36" s="151">
        <v>16.5</v>
      </c>
      <c r="V36" s="150">
        <f t="shared" si="79"/>
        <v>5940</v>
      </c>
      <c r="W36" s="150">
        <v>48</v>
      </c>
      <c r="X36" s="150">
        <f t="shared" si="80"/>
        <v>17280</v>
      </c>
      <c r="Y36" s="150">
        <v>46</v>
      </c>
      <c r="Z36" s="150">
        <f t="shared" si="81"/>
        <v>16560</v>
      </c>
      <c r="AA36" s="153">
        <v>35</v>
      </c>
      <c r="AB36" s="150">
        <f t="shared" si="82"/>
        <v>12600</v>
      </c>
      <c r="AC36" s="150">
        <v>30.81</v>
      </c>
      <c r="AD36" s="150">
        <f t="shared" si="83"/>
        <v>11091.6</v>
      </c>
      <c r="AE36" s="154">
        <f t="shared" si="84"/>
        <v>37.1</v>
      </c>
      <c r="AF36" s="150">
        <f t="shared" si="85"/>
        <v>13356</v>
      </c>
      <c r="AG36" s="155"/>
    </row>
    <row r="37" s="10" customFormat="1" ht="39" customHeight="1" outlineLevel="2" spans="1:36">
      <c r="A37" s="148">
        <v>5.8</v>
      </c>
      <c r="B37" s="148" t="s">
        <v>90</v>
      </c>
      <c r="C37" s="157" t="s">
        <v>91</v>
      </c>
      <c r="D37" s="157" t="s">
        <v>92</v>
      </c>
      <c r="E37" s="148" t="s">
        <v>89</v>
      </c>
      <c r="F37" s="149">
        <f>36*5*2</f>
        <v>360</v>
      </c>
      <c r="G37" s="150">
        <v>66.9375</v>
      </c>
      <c r="H37" s="150">
        <f t="shared" si="72"/>
        <v>24097.5</v>
      </c>
      <c r="I37" s="150">
        <v>80.224</v>
      </c>
      <c r="J37" s="150">
        <f t="shared" si="73"/>
        <v>28880.64</v>
      </c>
      <c r="K37" s="151">
        <v>24.2</v>
      </c>
      <c r="L37" s="150">
        <f t="shared" si="74"/>
        <v>8712</v>
      </c>
      <c r="M37" s="150">
        <v>77.87</v>
      </c>
      <c r="N37" s="150">
        <f t="shared" si="75"/>
        <v>28033.2</v>
      </c>
      <c r="O37" s="150">
        <v>29.97</v>
      </c>
      <c r="P37" s="150">
        <f t="shared" si="76"/>
        <v>10789.2</v>
      </c>
      <c r="Q37" s="150">
        <v>41.2</v>
      </c>
      <c r="R37" s="150">
        <f t="shared" si="77"/>
        <v>14832</v>
      </c>
      <c r="S37" s="152">
        <v>21.68788</v>
      </c>
      <c r="T37" s="150">
        <f t="shared" si="78"/>
        <v>7807.6368</v>
      </c>
      <c r="U37" s="151">
        <v>16.5</v>
      </c>
      <c r="V37" s="150">
        <f t="shared" si="79"/>
        <v>5940</v>
      </c>
      <c r="W37" s="150">
        <v>5</v>
      </c>
      <c r="X37" s="150">
        <f t="shared" si="80"/>
        <v>1800</v>
      </c>
      <c r="Y37" s="150">
        <v>3.5</v>
      </c>
      <c r="Z37" s="150">
        <f t="shared" si="81"/>
        <v>1260</v>
      </c>
      <c r="AA37" s="153">
        <v>10</v>
      </c>
      <c r="AB37" s="150">
        <f t="shared" si="82"/>
        <v>3600</v>
      </c>
      <c r="AC37" s="150">
        <v>15.23</v>
      </c>
      <c r="AD37" s="150">
        <f t="shared" si="83"/>
        <v>5482.8</v>
      </c>
      <c r="AE37" s="154">
        <f t="shared" si="84"/>
        <v>10.6</v>
      </c>
      <c r="AF37" s="150">
        <f t="shared" si="85"/>
        <v>3816</v>
      </c>
      <c r="AG37" s="155"/>
    </row>
    <row r="38" s="12" customFormat="1" ht="25" customHeight="1" outlineLevel="1" spans="1:36">
      <c r="A38" s="105">
        <v>2</v>
      </c>
      <c r="B38" s="140" t="s">
        <v>93</v>
      </c>
      <c r="C38" s="141"/>
      <c r="D38" s="141"/>
      <c r="E38" s="140"/>
      <c r="F38" s="128"/>
      <c r="G38" s="142"/>
      <c r="H38" s="142">
        <f t="shared" ref="H38:L38" si="86">SUM(H39:H42)</f>
        <v>2229286.5</v>
      </c>
      <c r="I38" s="142"/>
      <c r="J38" s="142">
        <f t="shared" si="86"/>
        <v>1456896</v>
      </c>
      <c r="K38" s="111"/>
      <c r="L38" s="142">
        <f t="shared" si="86"/>
        <v>1434906</v>
      </c>
      <c r="M38" s="142"/>
      <c r="N38" s="142">
        <f>SUM(N39:N42)</f>
        <v>2254927.8</v>
      </c>
      <c r="O38" s="142"/>
      <c r="P38" s="142">
        <f>SUM(P39:P42)</f>
        <v>1320345</v>
      </c>
      <c r="Q38" s="142"/>
      <c r="R38" s="142">
        <f t="shared" ref="R38:V38" si="87">SUM(R39:R42)</f>
        <v>2198688</v>
      </c>
      <c r="S38" s="143"/>
      <c r="T38" s="142">
        <f t="shared" si="87"/>
        <v>2228537.376</v>
      </c>
      <c r="U38" s="111"/>
      <c r="V38" s="142">
        <f t="shared" si="87"/>
        <v>2549164.8</v>
      </c>
      <c r="W38" s="142"/>
      <c r="X38" s="142">
        <f>SUM(X39:X42)</f>
        <v>1479600</v>
      </c>
      <c r="Y38" s="142"/>
      <c r="Z38" s="142">
        <f t="shared" ref="Z38:AD38" si="88">SUM(Z39:Z42)</f>
        <v>1296240</v>
      </c>
      <c r="AA38" s="137"/>
      <c r="AB38" s="142">
        <f t="shared" si="88"/>
        <v>1114388.89154704</v>
      </c>
      <c r="AC38" s="142"/>
      <c r="AD38" s="142">
        <f t="shared" si="88"/>
        <v>2110538.57850615</v>
      </c>
      <c r="AE38" s="144"/>
      <c r="AF38" s="142">
        <f>SUM(AF39:AF42)</f>
        <v>1181252.22503986</v>
      </c>
      <c r="AG38" s="106"/>
    </row>
    <row r="39" s="10" customFormat="1" ht="122" customHeight="1" outlineLevel="2" spans="1:36">
      <c r="A39" s="148">
        <v>6.1</v>
      </c>
      <c r="B39" s="148" t="s">
        <v>94</v>
      </c>
      <c r="C39" s="177" t="s">
        <v>95</v>
      </c>
      <c r="D39" s="157" t="s">
        <v>96</v>
      </c>
      <c r="E39" s="148" t="s">
        <v>42</v>
      </c>
      <c r="F39" s="149">
        <f>48000*0.06</f>
        <v>2880</v>
      </c>
      <c r="G39" s="150">
        <v>75.8625</v>
      </c>
      <c r="H39" s="150">
        <f t="shared" ref="H39:H42" si="89">+$F39*G39</f>
        <v>218484</v>
      </c>
      <c r="I39" s="150">
        <v>48.64</v>
      </c>
      <c r="J39" s="150">
        <f t="shared" ref="J39:J42" si="90">+$F39*I39</f>
        <v>140083.2</v>
      </c>
      <c r="K39" s="151">
        <v>57.2</v>
      </c>
      <c r="L39" s="150">
        <f t="shared" ref="L39:L42" si="91">+$F39*K39</f>
        <v>164736</v>
      </c>
      <c r="M39" s="150">
        <v>87.24</v>
      </c>
      <c r="N39" s="150">
        <f t="shared" ref="N39:N42" si="92">+$F39*M39</f>
        <v>251251.2</v>
      </c>
      <c r="O39" s="150">
        <v>46.62</v>
      </c>
      <c r="P39" s="150">
        <f>+$F39*O39</f>
        <v>134265.6</v>
      </c>
      <c r="Q39" s="150">
        <v>84.5</v>
      </c>
      <c r="R39" s="150">
        <f t="shared" ref="R39:R42" si="93">+$F39*Q39</f>
        <v>243360</v>
      </c>
      <c r="S39" s="152">
        <v>58.32768</v>
      </c>
      <c r="T39" s="150">
        <f>+$F39*S39</f>
        <v>167983.7184</v>
      </c>
      <c r="U39" s="151">
        <v>108.64</v>
      </c>
      <c r="V39" s="150">
        <f t="shared" ref="V39:V42" si="94">+$F39*U39</f>
        <v>312883.2</v>
      </c>
      <c r="W39" s="150">
        <v>45</v>
      </c>
      <c r="X39" s="150">
        <f>+$F39*W39</f>
        <v>129600</v>
      </c>
      <c r="Y39" s="150">
        <v>45</v>
      </c>
      <c r="Z39" s="150">
        <f t="shared" ref="Z39:AD39" si="95">+$F39*Y39</f>
        <v>129600</v>
      </c>
      <c r="AA39" s="153">
        <v>40</v>
      </c>
      <c r="AB39" s="150">
        <f t="shared" si="95"/>
        <v>115200</v>
      </c>
      <c r="AC39" s="150">
        <v>93.9646347865213</v>
      </c>
      <c r="AD39" s="150">
        <f t="shared" si="95"/>
        <v>270618.148185181</v>
      </c>
      <c r="AE39" s="154">
        <f t="shared" ref="AE39:AE42" si="96">+AA39*1.06</f>
        <v>42.4</v>
      </c>
      <c r="AF39" s="150">
        <f>+$F39*AE39</f>
        <v>122112</v>
      </c>
      <c r="AG39" s="155"/>
    </row>
    <row r="40" s="10" customFormat="1" ht="136" customHeight="1" outlineLevel="2" spans="1:36">
      <c r="A40" s="148">
        <v>6.2</v>
      </c>
      <c r="B40" s="148" t="s">
        <v>97</v>
      </c>
      <c r="C40" s="157"/>
      <c r="D40" s="157" t="s">
        <v>96</v>
      </c>
      <c r="E40" s="148" t="s">
        <v>42</v>
      </c>
      <c r="F40" s="149">
        <f>0.32*48000</f>
        <v>15360</v>
      </c>
      <c r="G40" s="150">
        <v>84.7875</v>
      </c>
      <c r="H40" s="150">
        <f t="shared" si="89"/>
        <v>1302336</v>
      </c>
      <c r="I40" s="150">
        <v>48.64</v>
      </c>
      <c r="J40" s="150">
        <f t="shared" si="90"/>
        <v>747110.4</v>
      </c>
      <c r="K40" s="151">
        <v>64.9</v>
      </c>
      <c r="L40" s="150">
        <f t="shared" si="91"/>
        <v>996864</v>
      </c>
      <c r="M40" s="150">
        <v>103.53</v>
      </c>
      <c r="N40" s="150">
        <f t="shared" si="92"/>
        <v>1590220.8</v>
      </c>
      <c r="O40" s="150">
        <v>61.05</v>
      </c>
      <c r="P40" s="150">
        <f>+$F40*O40</f>
        <v>937728</v>
      </c>
      <c r="Q40" s="150">
        <v>95.4</v>
      </c>
      <c r="R40" s="150">
        <f t="shared" si="93"/>
        <v>1465344</v>
      </c>
      <c r="S40" s="152">
        <v>71.71944</v>
      </c>
      <c r="T40" s="150">
        <f>+$F40*S40</f>
        <v>1101610.5984</v>
      </c>
      <c r="U40" s="151">
        <v>108.64</v>
      </c>
      <c r="V40" s="150">
        <f t="shared" si="94"/>
        <v>1668710.4</v>
      </c>
      <c r="W40" s="150">
        <v>55</v>
      </c>
      <c r="X40" s="150">
        <f>+$F40*W40</f>
        <v>844800</v>
      </c>
      <c r="Y40" s="150">
        <v>52</v>
      </c>
      <c r="Z40" s="150">
        <f t="shared" ref="Z40:AD40" si="97">+$F40*Y40</f>
        <v>798720</v>
      </c>
      <c r="AA40" s="153">
        <v>50</v>
      </c>
      <c r="AB40" s="150">
        <f t="shared" si="97"/>
        <v>768000</v>
      </c>
      <c r="AC40" s="150">
        <f>+AC39</f>
        <v>93.9646347865213</v>
      </c>
      <c r="AD40" s="150">
        <f t="shared" si="97"/>
        <v>1443296.79032097</v>
      </c>
      <c r="AE40" s="154">
        <f t="shared" si="96"/>
        <v>53</v>
      </c>
      <c r="AF40" s="150">
        <f>+$F40*AE40</f>
        <v>814080</v>
      </c>
      <c r="AG40" s="155"/>
    </row>
    <row r="41" s="10" customFormat="1" ht="57" customHeight="1" outlineLevel="2" spans="1:36">
      <c r="A41" s="148">
        <v>6.3</v>
      </c>
      <c r="B41" s="148" t="s">
        <v>98</v>
      </c>
      <c r="C41" s="157" t="s">
        <v>99</v>
      </c>
      <c r="D41" s="157" t="s">
        <v>100</v>
      </c>
      <c r="E41" s="148" t="s">
        <v>47</v>
      </c>
      <c r="F41" s="149">
        <f>0.006*48000/0.1</f>
        <v>2880</v>
      </c>
      <c r="G41" s="150">
        <v>83.3</v>
      </c>
      <c r="H41" s="150">
        <f t="shared" si="89"/>
        <v>239904</v>
      </c>
      <c r="I41" s="150">
        <v>20.48</v>
      </c>
      <c r="J41" s="150">
        <f t="shared" si="90"/>
        <v>58982.4</v>
      </c>
      <c r="K41" s="151">
        <v>18.7</v>
      </c>
      <c r="L41" s="150">
        <f t="shared" si="91"/>
        <v>53856</v>
      </c>
      <c r="M41" s="150">
        <v>13.66</v>
      </c>
      <c r="N41" s="150">
        <f t="shared" si="92"/>
        <v>39340.8</v>
      </c>
      <c r="O41" s="150">
        <v>25.53</v>
      </c>
      <c r="P41" s="150">
        <f>+$F41*O41</f>
        <v>73526.4</v>
      </c>
      <c r="Q41" s="150">
        <v>24.3</v>
      </c>
      <c r="R41" s="150">
        <f t="shared" si="93"/>
        <v>69984</v>
      </c>
      <c r="S41" s="152">
        <v>13.98684</v>
      </c>
      <c r="T41" s="150">
        <f>+$F41*S41</f>
        <v>40282.0992</v>
      </c>
      <c r="U41" s="151">
        <v>19.04</v>
      </c>
      <c r="V41" s="150">
        <f t="shared" si="94"/>
        <v>54835.2</v>
      </c>
      <c r="W41" s="150">
        <v>15</v>
      </c>
      <c r="X41" s="150">
        <f>+$F41*W41</f>
        <v>43200</v>
      </c>
      <c r="Y41" s="150">
        <v>14</v>
      </c>
      <c r="Z41" s="150">
        <f t="shared" ref="Z41:AD41" si="98">+$F41*Y41</f>
        <v>40320</v>
      </c>
      <c r="AA41" s="153">
        <v>11</v>
      </c>
      <c r="AB41" s="150">
        <f t="shared" si="98"/>
        <v>31680</v>
      </c>
      <c r="AC41" s="150">
        <f>86.03*0.1</f>
        <v>8.603</v>
      </c>
      <c r="AD41" s="150">
        <f t="shared" si="98"/>
        <v>24776.64</v>
      </c>
      <c r="AE41" s="154">
        <f t="shared" si="96"/>
        <v>11.66</v>
      </c>
      <c r="AF41" s="150">
        <f>+$F41*AE41</f>
        <v>33580.8</v>
      </c>
      <c r="AG41" s="155"/>
    </row>
    <row r="42" s="10" customFormat="1" ht="50" customHeight="1" outlineLevel="2" spans="1:36">
      <c r="A42" s="148">
        <v>6.4</v>
      </c>
      <c r="B42" s="148" t="s">
        <v>101</v>
      </c>
      <c r="C42" s="157" t="s">
        <v>102</v>
      </c>
      <c r="D42" s="157" t="s">
        <v>103</v>
      </c>
      <c r="E42" s="148" t="s">
        <v>42</v>
      </c>
      <c r="F42" s="149">
        <v>2100</v>
      </c>
      <c r="G42" s="150">
        <v>223.125</v>
      </c>
      <c r="H42" s="150">
        <f t="shared" si="89"/>
        <v>468562.5</v>
      </c>
      <c r="I42" s="150">
        <v>243.2</v>
      </c>
      <c r="J42" s="150">
        <f t="shared" si="90"/>
        <v>510720</v>
      </c>
      <c r="K42" s="151">
        <v>104.5</v>
      </c>
      <c r="L42" s="150">
        <f t="shared" si="91"/>
        <v>219450</v>
      </c>
      <c r="M42" s="150">
        <v>178.15</v>
      </c>
      <c r="N42" s="150">
        <f t="shared" si="92"/>
        <v>374115</v>
      </c>
      <c r="O42" s="150">
        <v>83.25</v>
      </c>
      <c r="P42" s="150">
        <f>+$F42*O42</f>
        <v>174825</v>
      </c>
      <c r="Q42" s="150">
        <v>200</v>
      </c>
      <c r="R42" s="150">
        <f t="shared" si="93"/>
        <v>420000</v>
      </c>
      <c r="S42" s="152">
        <v>437.4576</v>
      </c>
      <c r="T42" s="150">
        <f>+$F42*S42</f>
        <v>918660.96</v>
      </c>
      <c r="U42" s="151">
        <v>244.16</v>
      </c>
      <c r="V42" s="150">
        <f t="shared" si="94"/>
        <v>512736</v>
      </c>
      <c r="W42" s="150">
        <v>220</v>
      </c>
      <c r="X42" s="150">
        <f>+$F42*W42</f>
        <v>462000</v>
      </c>
      <c r="Y42" s="150">
        <v>156</v>
      </c>
      <c r="Z42" s="150">
        <f t="shared" ref="Z42:AD42" si="99">+$F42*Y42</f>
        <v>327600</v>
      </c>
      <c r="AA42" s="153">
        <v>95.0042340700199</v>
      </c>
      <c r="AB42" s="150">
        <f t="shared" si="99"/>
        <v>199508.891547042</v>
      </c>
      <c r="AC42" s="150">
        <v>177.07</v>
      </c>
      <c r="AD42" s="150">
        <f t="shared" si="99"/>
        <v>371847</v>
      </c>
      <c r="AE42" s="154">
        <f t="shared" si="96"/>
        <v>100.704488114221</v>
      </c>
      <c r="AF42" s="150">
        <f>+$F42*AE42</f>
        <v>211479.425039864</v>
      </c>
      <c r="AG42" s="155"/>
    </row>
    <row r="43" s="12" customFormat="1" ht="25" customHeight="1" outlineLevel="1" spans="1:36">
      <c r="A43" s="178">
        <v>3</v>
      </c>
      <c r="B43" s="106" t="s">
        <v>65</v>
      </c>
      <c r="C43" s="49"/>
      <c r="D43" s="163"/>
      <c r="E43" s="106"/>
      <c r="F43" s="128"/>
      <c r="G43" s="142"/>
      <c r="H43" s="142">
        <f t="shared" ref="H43:L43" si="100">H29+H38</f>
        <v>8502795.34375</v>
      </c>
      <c r="I43" s="142"/>
      <c r="J43" s="142">
        <f t="shared" si="100"/>
        <v>5758918.392</v>
      </c>
      <c r="K43" s="111"/>
      <c r="L43" s="142">
        <f t="shared" si="100"/>
        <v>5911554</v>
      </c>
      <c r="M43" s="142"/>
      <c r="N43" s="142">
        <f>N29+N38</f>
        <v>6134910.718</v>
      </c>
      <c r="O43" s="142"/>
      <c r="P43" s="142">
        <f>P29+P38</f>
        <v>5624798.04</v>
      </c>
      <c r="Q43" s="142"/>
      <c r="R43" s="142">
        <f t="shared" ref="R43:V43" si="101">R29+R38</f>
        <v>6956727.68</v>
      </c>
      <c r="S43" s="143"/>
      <c r="T43" s="142">
        <f t="shared" si="101"/>
        <v>6598069.070944</v>
      </c>
      <c r="U43" s="111"/>
      <c r="V43" s="142">
        <f t="shared" si="101"/>
        <v>6174478.62168</v>
      </c>
      <c r="W43" s="142"/>
      <c r="X43" s="142">
        <f>X29+X38</f>
        <v>5518027.2</v>
      </c>
      <c r="Y43" s="142"/>
      <c r="Z43" s="142">
        <f t="shared" ref="Z43:AD43" si="102">Z29+Z38</f>
        <v>5014100</v>
      </c>
      <c r="AA43" s="137"/>
      <c r="AB43" s="142">
        <f t="shared" si="102"/>
        <v>4451122.29154704</v>
      </c>
      <c r="AC43" s="142"/>
      <c r="AD43" s="142">
        <f t="shared" si="102"/>
        <v>5634645.41650614</v>
      </c>
      <c r="AE43" s="144"/>
      <c r="AF43" s="142">
        <f>AF29+AF38</f>
        <v>4718189.62903986</v>
      </c>
      <c r="AG43" s="106"/>
    </row>
    <row r="44" s="12" customFormat="1" ht="25" customHeight="1" outlineLevel="1" spans="1:36">
      <c r="A44" s="178">
        <v>4</v>
      </c>
      <c r="B44" s="106" t="s">
        <v>66</v>
      </c>
      <c r="C44" s="49"/>
      <c r="D44" s="163"/>
      <c r="E44" s="106"/>
      <c r="F44" s="179"/>
      <c r="G44" s="180">
        <v>0.09</v>
      </c>
      <c r="H44" s="142">
        <f t="shared" ref="H44:L44" si="103">H43*G44</f>
        <v>765251.5809375</v>
      </c>
      <c r="I44" s="180">
        <v>0.09</v>
      </c>
      <c r="J44" s="142">
        <f t="shared" si="103"/>
        <v>518302.65528</v>
      </c>
      <c r="K44" s="181">
        <v>0.09</v>
      </c>
      <c r="L44" s="142">
        <f t="shared" si="103"/>
        <v>532039.86</v>
      </c>
      <c r="M44" s="180">
        <v>0.09</v>
      </c>
      <c r="N44" s="142">
        <f>N43*M44</f>
        <v>552141.96462</v>
      </c>
      <c r="O44" s="180">
        <v>0.09</v>
      </c>
      <c r="P44" s="142">
        <f>P43*O44</f>
        <v>506231.8236</v>
      </c>
      <c r="Q44" s="180">
        <v>0.09</v>
      </c>
      <c r="R44" s="142">
        <f t="shared" ref="R44:V44" si="104">R43*Q44</f>
        <v>626105.4912</v>
      </c>
      <c r="S44" s="182">
        <v>0.03</v>
      </c>
      <c r="T44" s="142">
        <f t="shared" si="104"/>
        <v>197942.07212832</v>
      </c>
      <c r="U44" s="181">
        <v>0.03</v>
      </c>
      <c r="V44" s="142">
        <f t="shared" si="104"/>
        <v>185234.3586504</v>
      </c>
      <c r="W44" s="180">
        <v>0.03</v>
      </c>
      <c r="X44" s="142">
        <f>X43*W44</f>
        <v>165540.816</v>
      </c>
      <c r="Y44" s="180">
        <v>0.03</v>
      </c>
      <c r="Z44" s="142">
        <f t="shared" ref="Z44:AD44" si="105">Z43*Y44</f>
        <v>150423</v>
      </c>
      <c r="AA44" s="173">
        <v>0.09</v>
      </c>
      <c r="AB44" s="142">
        <f t="shared" si="105"/>
        <v>400601.006239234</v>
      </c>
      <c r="AC44" s="173">
        <v>0.09</v>
      </c>
      <c r="AD44" s="142">
        <f t="shared" si="105"/>
        <v>507118.087485553</v>
      </c>
      <c r="AE44" s="180">
        <v>0.03</v>
      </c>
      <c r="AF44" s="142">
        <f>AF43*AE44</f>
        <v>141545.688871196</v>
      </c>
      <c r="AG44" s="106"/>
    </row>
    <row r="45" s="12" customFormat="1" ht="25" customHeight="1" outlineLevel="1" spans="1:36">
      <c r="A45" s="178">
        <v>5</v>
      </c>
      <c r="B45" s="106" t="s">
        <v>67</v>
      </c>
      <c r="C45" s="49"/>
      <c r="D45" s="163"/>
      <c r="E45" s="106"/>
      <c r="F45" s="128"/>
      <c r="G45" s="142"/>
      <c r="H45" s="142">
        <f t="shared" ref="H45:L45" si="106">H43+H44</f>
        <v>9268046.9246875</v>
      </c>
      <c r="I45" s="142"/>
      <c r="J45" s="142">
        <f t="shared" si="106"/>
        <v>6277221.04728</v>
      </c>
      <c r="K45" s="111"/>
      <c r="L45" s="142">
        <f t="shared" si="106"/>
        <v>6443593.86</v>
      </c>
      <c r="M45" s="142"/>
      <c r="N45" s="142">
        <f>N43+N44</f>
        <v>6687052.68262</v>
      </c>
      <c r="O45" s="142"/>
      <c r="P45" s="142">
        <f>P43+P44</f>
        <v>6131029.8636</v>
      </c>
      <c r="Q45" s="142"/>
      <c r="R45" s="142">
        <f t="shared" ref="R45:V45" si="107">R43+R44</f>
        <v>7582833.1712</v>
      </c>
      <c r="S45" s="143"/>
      <c r="T45" s="142">
        <f t="shared" si="107"/>
        <v>6796011.14307232</v>
      </c>
      <c r="U45" s="111"/>
      <c r="V45" s="142">
        <f t="shared" si="107"/>
        <v>6359712.9803304</v>
      </c>
      <c r="W45" s="142"/>
      <c r="X45" s="142">
        <f>X43+X44</f>
        <v>5683568.016</v>
      </c>
      <c r="Y45" s="142"/>
      <c r="Z45" s="142">
        <f t="shared" ref="Z45:AD45" si="108">Z43+Z44</f>
        <v>5164523</v>
      </c>
      <c r="AA45" s="137"/>
      <c r="AB45" s="142">
        <f t="shared" si="108"/>
        <v>4851723.29778628</v>
      </c>
      <c r="AC45" s="142"/>
      <c r="AD45" s="142">
        <f t="shared" si="108"/>
        <v>6141763.50399169</v>
      </c>
      <c r="AE45" s="144"/>
      <c r="AF45" s="142">
        <f>AF43+AF44</f>
        <v>4859735.31791106</v>
      </c>
      <c r="AG45" s="106"/>
    </row>
    <row r="46" s="84" customFormat="1" ht="35" customHeight="1" spans="1:36">
      <c r="A46" s="183" t="s">
        <v>104</v>
      </c>
      <c r="B46" s="183" t="s">
        <v>105</v>
      </c>
      <c r="C46" s="184"/>
      <c r="D46" s="184"/>
      <c r="E46" s="185"/>
      <c r="F46" s="186"/>
      <c r="G46" s="187"/>
      <c r="H46" s="134">
        <f t="shared" ref="H46:L46" si="109">H51</f>
        <v>806112.772281152</v>
      </c>
      <c r="I46" s="187"/>
      <c r="J46" s="134">
        <f t="shared" si="109"/>
        <v>602889.4102848</v>
      </c>
      <c r="K46" s="188"/>
      <c r="L46" s="134">
        <f t="shared" si="109"/>
        <v>524528.1622968</v>
      </c>
      <c r="M46" s="187"/>
      <c r="N46" s="134">
        <f>N51</f>
        <v>525925.08536444</v>
      </c>
      <c r="O46" s="187"/>
      <c r="P46" s="134">
        <f>P51</f>
        <v>490762.0407306</v>
      </c>
      <c r="Q46" s="187"/>
      <c r="R46" s="134">
        <f t="shared" ref="R46:V46" si="110">R51</f>
        <v>450629.12632072</v>
      </c>
      <c r="S46" s="189"/>
      <c r="T46" s="134">
        <f t="shared" si="110"/>
        <v>423445.307463862</v>
      </c>
      <c r="U46" s="188"/>
      <c r="V46" s="134">
        <f t="shared" si="110"/>
        <v>422886.428351008</v>
      </c>
      <c r="W46" s="187"/>
      <c r="X46" s="134">
        <f>X51</f>
        <v>381325.350404</v>
      </c>
      <c r="Y46" s="187"/>
      <c r="Z46" s="134">
        <f t="shared" ref="Z46:AD46" si="111">Z51</f>
        <v>341018.125358</v>
      </c>
      <c r="AA46" s="153"/>
      <c r="AB46" s="134">
        <f t="shared" si="111"/>
        <v>352365.262039367</v>
      </c>
      <c r="AC46" s="134"/>
      <c r="AD46" s="134">
        <f t="shared" si="111"/>
        <v>351283.485321</v>
      </c>
      <c r="AE46" s="138"/>
      <c r="AF46" s="134">
        <f>AF51</f>
        <v>373507.177761729</v>
      </c>
      <c r="AG46" s="176"/>
      <c r="AH46" s="139"/>
      <c r="AI46" s="139"/>
      <c r="AJ46" s="139"/>
    </row>
    <row r="47" s="12" customFormat="1" ht="25" customHeight="1" outlineLevel="1" spans="1:36">
      <c r="A47" s="140">
        <v>1</v>
      </c>
      <c r="B47" s="140" t="s">
        <v>105</v>
      </c>
      <c r="C47" s="141"/>
      <c r="D47" s="141"/>
      <c r="E47" s="140"/>
      <c r="F47" s="128"/>
      <c r="G47" s="142"/>
      <c r="H47" s="142">
        <f t="shared" ref="H47:L47" si="112">H48</f>
        <v>739553.0020928</v>
      </c>
      <c r="I47" s="142"/>
      <c r="J47" s="142">
        <f t="shared" si="112"/>
        <v>553109.55072</v>
      </c>
      <c r="K47" s="111"/>
      <c r="L47" s="142">
        <f t="shared" si="112"/>
        <v>481218.49752</v>
      </c>
      <c r="M47" s="142"/>
      <c r="N47" s="142">
        <f>N48</f>
        <v>482500.078316</v>
      </c>
      <c r="O47" s="142"/>
      <c r="P47" s="142">
        <f>P48</f>
        <v>450240.40434</v>
      </c>
      <c r="Q47" s="142"/>
      <c r="R47" s="142">
        <f t="shared" ref="R47:V47" si="113">R48</f>
        <v>413421.216808</v>
      </c>
      <c r="S47" s="143"/>
      <c r="T47" s="142">
        <f t="shared" si="113"/>
        <v>411111.94899404</v>
      </c>
      <c r="U47" s="111"/>
      <c r="V47" s="142">
        <f t="shared" si="113"/>
        <v>410569.3479136</v>
      </c>
      <c r="W47" s="142"/>
      <c r="X47" s="142">
        <f>X48</f>
        <v>370218.7868</v>
      </c>
      <c r="Y47" s="142"/>
      <c r="Z47" s="142">
        <f t="shared" ref="Z47:AD47" si="114">Z48</f>
        <v>331085.5586</v>
      </c>
      <c r="AA47" s="137"/>
      <c r="AB47" s="142">
        <f t="shared" si="114"/>
        <v>323270.882604924</v>
      </c>
      <c r="AC47" s="142"/>
      <c r="AD47" s="142">
        <f t="shared" si="114"/>
        <v>322278.4269</v>
      </c>
      <c r="AE47" s="144"/>
      <c r="AF47" s="142">
        <f>AF48</f>
        <v>342667.135561219</v>
      </c>
      <c r="AG47" s="106"/>
    </row>
    <row r="48" s="10" customFormat="1" ht="409" customHeight="1" outlineLevel="2" spans="1:36">
      <c r="A48" s="148">
        <v>1.1</v>
      </c>
      <c r="B48" s="148" t="s">
        <v>106</v>
      </c>
      <c r="C48" s="157" t="s">
        <v>107</v>
      </c>
      <c r="D48" s="157" t="s">
        <v>108</v>
      </c>
      <c r="E48" s="148" t="s">
        <v>109</v>
      </c>
      <c r="F48" s="190" t="s">
        <v>108</v>
      </c>
      <c r="G48" s="191">
        <v>0.02</v>
      </c>
      <c r="H48" s="150">
        <f t="shared" ref="H48:L48" si="115">(H7+H11+H17+H21+H29+H38)*G48</f>
        <v>739553.0020928</v>
      </c>
      <c r="I48" s="191">
        <v>0.02</v>
      </c>
      <c r="J48" s="150">
        <f t="shared" si="115"/>
        <v>553109.55072</v>
      </c>
      <c r="K48" s="192">
        <v>0.02</v>
      </c>
      <c r="L48" s="150">
        <f t="shared" si="115"/>
        <v>481218.49752</v>
      </c>
      <c r="M48" s="191">
        <v>0.02</v>
      </c>
      <c r="N48" s="150">
        <f>(N7+N11+N17+N21+N29+N38)*M48</f>
        <v>482500.078316</v>
      </c>
      <c r="O48" s="191">
        <v>0.02</v>
      </c>
      <c r="P48" s="150">
        <f>(P7+P11+P17+P21+P29+P38)*O48</f>
        <v>450240.40434</v>
      </c>
      <c r="Q48" s="191">
        <v>0.02</v>
      </c>
      <c r="R48" s="150">
        <f t="shared" ref="R48:V48" si="116">(R7+R11+R17+R21+R29+R38)*Q48</f>
        <v>413421.216808</v>
      </c>
      <c r="S48" s="193">
        <v>0.02</v>
      </c>
      <c r="T48" s="150">
        <f t="shared" si="116"/>
        <v>411111.94899404</v>
      </c>
      <c r="U48" s="192">
        <v>0.02</v>
      </c>
      <c r="V48" s="150">
        <f t="shared" si="116"/>
        <v>410569.3479136</v>
      </c>
      <c r="W48" s="191">
        <v>0.02</v>
      </c>
      <c r="X48" s="150">
        <f>(X7+X11+X17+X21+X29+X38)*W48</f>
        <v>370218.7868</v>
      </c>
      <c r="Y48" s="191">
        <v>0.02</v>
      </c>
      <c r="Z48" s="150">
        <f>(Z7+Z11+Z17+Z21+Z29+Z38)*Y48</f>
        <v>331085.5586</v>
      </c>
      <c r="AA48" s="194">
        <v>0.02</v>
      </c>
      <c r="AB48" s="150">
        <f>(AB7+AB11+AB17+AB21+AB29+AB38)*AA48</f>
        <v>323270.882604924</v>
      </c>
      <c r="AC48" s="150"/>
      <c r="AD48" s="150">
        <f>704433.72*50%*91.5%</f>
        <v>322278.4269</v>
      </c>
      <c r="AE48" s="191">
        <v>0.02</v>
      </c>
      <c r="AF48" s="150">
        <f>(AF7+AF11+AF17+AF21+AF29+AF38)*AE48</f>
        <v>342667.135561219</v>
      </c>
      <c r="AG48" s="158"/>
    </row>
    <row r="49" s="12" customFormat="1" ht="25" customHeight="1" outlineLevel="1" spans="1:36">
      <c r="A49" s="178">
        <v>2</v>
      </c>
      <c r="B49" s="106" t="s">
        <v>65</v>
      </c>
      <c r="C49" s="49"/>
      <c r="D49" s="163"/>
      <c r="E49" s="106"/>
      <c r="F49" s="128"/>
      <c r="G49" s="142"/>
      <c r="H49" s="142">
        <f t="shared" ref="H49:L49" si="117">H47</f>
        <v>739553.0020928</v>
      </c>
      <c r="I49" s="142"/>
      <c r="J49" s="142">
        <f t="shared" si="117"/>
        <v>553109.55072</v>
      </c>
      <c r="K49" s="111"/>
      <c r="L49" s="142">
        <f t="shared" si="117"/>
        <v>481218.49752</v>
      </c>
      <c r="M49" s="142"/>
      <c r="N49" s="142">
        <f>N47</f>
        <v>482500.078316</v>
      </c>
      <c r="O49" s="142"/>
      <c r="P49" s="142">
        <f>P47</f>
        <v>450240.40434</v>
      </c>
      <c r="Q49" s="142"/>
      <c r="R49" s="142">
        <f t="shared" ref="R49:V49" si="118">R47</f>
        <v>413421.216808</v>
      </c>
      <c r="S49" s="143"/>
      <c r="T49" s="142">
        <f t="shared" si="118"/>
        <v>411111.94899404</v>
      </c>
      <c r="U49" s="111"/>
      <c r="V49" s="142">
        <f t="shared" si="118"/>
        <v>410569.3479136</v>
      </c>
      <c r="W49" s="142"/>
      <c r="X49" s="142">
        <f>X47</f>
        <v>370218.7868</v>
      </c>
      <c r="Y49" s="142"/>
      <c r="Z49" s="142">
        <f t="shared" ref="Z49:AD49" si="119">Z47</f>
        <v>331085.5586</v>
      </c>
      <c r="AA49" s="137"/>
      <c r="AB49" s="142">
        <f t="shared" si="119"/>
        <v>323270.882604924</v>
      </c>
      <c r="AC49" s="142"/>
      <c r="AD49" s="142">
        <f t="shared" si="119"/>
        <v>322278.4269</v>
      </c>
      <c r="AE49" s="144"/>
      <c r="AF49" s="142">
        <f>AF47</f>
        <v>342667.135561219</v>
      </c>
      <c r="AG49" s="106"/>
    </row>
    <row r="50" s="12" customFormat="1" ht="25" customHeight="1" outlineLevel="1" spans="1:36">
      <c r="A50" s="178">
        <v>3</v>
      </c>
      <c r="B50" s="106" t="s">
        <v>66</v>
      </c>
      <c r="C50" s="49"/>
      <c r="D50" s="163"/>
      <c r="E50" s="106"/>
      <c r="F50" s="179"/>
      <c r="G50" s="180">
        <v>0.09</v>
      </c>
      <c r="H50" s="142">
        <f t="shared" ref="H50:L50" si="120">+H49*G50</f>
        <v>66559.770188352</v>
      </c>
      <c r="I50" s="180">
        <v>0.09</v>
      </c>
      <c r="J50" s="142">
        <f t="shared" si="120"/>
        <v>49779.8595648</v>
      </c>
      <c r="K50" s="181">
        <v>0.09</v>
      </c>
      <c r="L50" s="142">
        <f t="shared" si="120"/>
        <v>43309.6647768</v>
      </c>
      <c r="M50" s="180">
        <v>0.09</v>
      </c>
      <c r="N50" s="142">
        <f>+N49*M50</f>
        <v>43425.00704844</v>
      </c>
      <c r="O50" s="180">
        <v>0.09</v>
      </c>
      <c r="P50" s="142">
        <f>+P49*O50</f>
        <v>40521.6363906</v>
      </c>
      <c r="Q50" s="180">
        <v>0.09</v>
      </c>
      <c r="R50" s="142">
        <f t="shared" ref="R50:V50" si="121">+R49*Q50</f>
        <v>37207.90951272</v>
      </c>
      <c r="S50" s="182">
        <v>0.03</v>
      </c>
      <c r="T50" s="142">
        <f t="shared" si="121"/>
        <v>12333.3584698212</v>
      </c>
      <c r="U50" s="181">
        <v>0.03</v>
      </c>
      <c r="V50" s="142">
        <f t="shared" si="121"/>
        <v>12317.080437408</v>
      </c>
      <c r="W50" s="180">
        <v>0.03</v>
      </c>
      <c r="X50" s="142">
        <f>+X49*W50</f>
        <v>11106.563604</v>
      </c>
      <c r="Y50" s="180">
        <v>0.03</v>
      </c>
      <c r="Z50" s="142">
        <f t="shared" ref="Z50:AD50" si="122">+Z49*Y50</f>
        <v>9932.566758</v>
      </c>
      <c r="AA50" s="173">
        <v>0.09</v>
      </c>
      <c r="AB50" s="142">
        <f t="shared" si="122"/>
        <v>29094.3794344431</v>
      </c>
      <c r="AC50" s="173">
        <v>0.09</v>
      </c>
      <c r="AD50" s="142">
        <f t="shared" si="122"/>
        <v>29005.058421</v>
      </c>
      <c r="AE50" s="173">
        <v>0.09</v>
      </c>
      <c r="AF50" s="142">
        <f>+AF49*AE50</f>
        <v>30840.0422005097</v>
      </c>
      <c r="AG50" s="106"/>
    </row>
    <row r="51" s="12" customFormat="1" ht="25" customHeight="1" outlineLevel="1" spans="1:36">
      <c r="A51" s="178">
        <v>4</v>
      </c>
      <c r="B51" s="106" t="s">
        <v>67</v>
      </c>
      <c r="C51" s="49"/>
      <c r="D51" s="163"/>
      <c r="E51" s="106"/>
      <c r="F51" s="128"/>
      <c r="G51" s="142"/>
      <c r="H51" s="142">
        <f t="shared" ref="H51:L51" si="123">H49+H50</f>
        <v>806112.772281152</v>
      </c>
      <c r="I51" s="142"/>
      <c r="J51" s="142">
        <f t="shared" si="123"/>
        <v>602889.4102848</v>
      </c>
      <c r="K51" s="111"/>
      <c r="L51" s="142">
        <f t="shared" si="123"/>
        <v>524528.1622968</v>
      </c>
      <c r="M51" s="142"/>
      <c r="N51" s="142">
        <f>N49+N50</f>
        <v>525925.08536444</v>
      </c>
      <c r="O51" s="142"/>
      <c r="P51" s="142">
        <f>P49+P50</f>
        <v>490762.0407306</v>
      </c>
      <c r="Q51" s="142"/>
      <c r="R51" s="142">
        <f t="shared" ref="R51:V51" si="124">R49+R50</f>
        <v>450629.12632072</v>
      </c>
      <c r="S51" s="143"/>
      <c r="T51" s="142">
        <f t="shared" si="124"/>
        <v>423445.307463862</v>
      </c>
      <c r="U51" s="111"/>
      <c r="V51" s="142">
        <f t="shared" si="124"/>
        <v>422886.428351008</v>
      </c>
      <c r="W51" s="142"/>
      <c r="X51" s="142">
        <f>X49+X50</f>
        <v>381325.350404</v>
      </c>
      <c r="Y51" s="142"/>
      <c r="Z51" s="142">
        <f t="shared" ref="Z51:AD51" si="125">Z49+Z50</f>
        <v>341018.125358</v>
      </c>
      <c r="AA51" s="137"/>
      <c r="AB51" s="142">
        <f t="shared" si="125"/>
        <v>352365.262039367</v>
      </c>
      <c r="AC51" s="142"/>
      <c r="AD51" s="142">
        <f t="shared" si="125"/>
        <v>351283.485321</v>
      </c>
      <c r="AE51" s="144"/>
      <c r="AF51" s="142">
        <f>AF49+AF50</f>
        <v>373507.177761729</v>
      </c>
      <c r="AG51" s="106"/>
    </row>
    <row r="52" s="84" customFormat="1" ht="35" customHeight="1" spans="1:36">
      <c r="A52" s="183" t="s">
        <v>110</v>
      </c>
      <c r="B52" s="131" t="s">
        <v>111</v>
      </c>
      <c r="C52" s="131"/>
      <c r="D52" s="195"/>
      <c r="E52" s="176"/>
      <c r="F52" s="186"/>
      <c r="G52" s="187"/>
      <c r="H52" s="134">
        <f t="shared" ref="H52:L52" si="126">H6+H28+H46</f>
        <v>41111751.3863388</v>
      </c>
      <c r="I52" s="187"/>
      <c r="J52" s="134">
        <f t="shared" si="126"/>
        <v>30747359.9245248</v>
      </c>
      <c r="K52" s="188"/>
      <c r="L52" s="134">
        <f t="shared" si="126"/>
        <v>26750936.2771368</v>
      </c>
      <c r="M52" s="187"/>
      <c r="N52" s="134">
        <f>N6+N28+N46</f>
        <v>26822179.3535864</v>
      </c>
      <c r="O52" s="187"/>
      <c r="P52" s="134">
        <f>P6+P28+P46</f>
        <v>25028864.0772606</v>
      </c>
      <c r="Q52" s="187"/>
      <c r="R52" s="134">
        <f t="shared" ref="R52:V52" si="127">R6+R28+R46</f>
        <v>22982085.4423567</v>
      </c>
      <c r="S52" s="189"/>
      <c r="T52" s="134">
        <f t="shared" si="127"/>
        <v>21595710.6806569</v>
      </c>
      <c r="U52" s="188"/>
      <c r="V52" s="134">
        <f t="shared" si="127"/>
        <v>21567207.8459014</v>
      </c>
      <c r="W52" s="187"/>
      <c r="X52" s="134">
        <f>X6+X28+X46</f>
        <v>19447592.870604</v>
      </c>
      <c r="Y52" s="187"/>
      <c r="Z52" s="134">
        <f t="shared" ref="Z52:AD52" si="128">Z6+Z28+Z46</f>
        <v>17391924.393258</v>
      </c>
      <c r="AA52" s="153"/>
      <c r="AB52" s="134">
        <f t="shared" si="128"/>
        <v>17970628.3640077</v>
      </c>
      <c r="AC52" s="134"/>
      <c r="AD52" s="134">
        <f t="shared" si="128"/>
        <v>19153584.9925127</v>
      </c>
      <c r="AE52" s="138"/>
      <c r="AF52" s="134">
        <f>AF6+AF28+AF46</f>
        <v>18765774.6881058</v>
      </c>
      <c r="AG52" s="176"/>
      <c r="AH52" s="139"/>
      <c r="AI52" s="139"/>
      <c r="AJ52" s="139"/>
    </row>
    <row r="53" s="10" customFormat="1" ht="314" customHeight="1" spans="1:36">
      <c r="A53" s="98" t="s">
        <v>112</v>
      </c>
      <c r="B53" s="196"/>
      <c r="C53" s="98"/>
      <c r="D53" s="98"/>
      <c r="E53" s="98"/>
      <c r="F53" s="196"/>
      <c r="G53" s="197"/>
      <c r="H53" s="197"/>
      <c r="I53" s="197"/>
      <c r="J53" s="197"/>
      <c r="K53" s="197"/>
      <c r="L53" s="197"/>
      <c r="M53" s="197"/>
      <c r="N53" s="197"/>
      <c r="O53" s="197"/>
      <c r="P53" s="197"/>
      <c r="Q53" s="197"/>
      <c r="R53" s="197"/>
      <c r="S53" s="198"/>
      <c r="T53" s="197"/>
      <c r="U53" s="198"/>
      <c r="V53" s="197"/>
      <c r="W53" s="197"/>
      <c r="X53" s="197"/>
      <c r="Y53" s="197"/>
      <c r="Z53" s="197"/>
      <c r="AA53" s="199"/>
      <c r="AB53" s="197"/>
      <c r="AC53" s="197"/>
      <c r="AD53" s="197"/>
      <c r="AE53" s="196"/>
      <c r="AF53" s="196"/>
      <c r="AG53" s="98"/>
    </row>
    <row r="54" s="10" customFormat="1" ht="46" customHeight="1" spans="1:36">
      <c r="A54" s="98" t="s">
        <v>113</v>
      </c>
      <c r="B54" s="98"/>
      <c r="C54" s="98"/>
      <c r="D54" s="98"/>
      <c r="E54" s="98"/>
      <c r="F54" s="98"/>
      <c r="G54" s="200"/>
      <c r="H54" s="200"/>
      <c r="I54" s="200"/>
      <c r="J54" s="200"/>
      <c r="K54" s="200"/>
      <c r="L54" s="200"/>
      <c r="M54" s="200"/>
      <c r="N54" s="200"/>
      <c r="O54" s="200"/>
      <c r="P54" s="200"/>
      <c r="Q54" s="200"/>
      <c r="R54" s="200"/>
      <c r="S54" s="201"/>
      <c r="T54" s="200"/>
      <c r="U54" s="201"/>
      <c r="V54" s="200"/>
      <c r="W54" s="200"/>
      <c r="X54" s="200"/>
      <c r="Y54" s="200"/>
      <c r="Z54" s="200"/>
      <c r="AA54" s="202"/>
      <c r="AB54" s="200"/>
      <c r="AC54" s="200"/>
      <c r="AD54" s="200"/>
      <c r="AE54" s="196"/>
      <c r="AF54" s="196"/>
      <c r="AG54" s="196"/>
    </row>
    <row r="55" s="10" customFormat="1" ht="50" customHeight="1" spans="1:36">
      <c r="A55" s="98" t="s">
        <v>114</v>
      </c>
      <c r="B55" s="98"/>
      <c r="C55" s="98"/>
      <c r="D55" s="98"/>
      <c r="E55" s="98"/>
      <c r="F55" s="98"/>
      <c r="G55" s="200"/>
      <c r="H55" s="200"/>
      <c r="I55" s="200"/>
      <c r="J55" s="200"/>
      <c r="K55" s="200"/>
      <c r="L55" s="200"/>
      <c r="M55" s="200"/>
      <c r="N55" s="200"/>
      <c r="O55" s="200"/>
      <c r="P55" s="200"/>
      <c r="Q55" s="200"/>
      <c r="R55" s="200"/>
      <c r="S55" s="201"/>
      <c r="T55" s="200"/>
      <c r="U55" s="201"/>
      <c r="V55" s="200"/>
      <c r="W55" s="200"/>
      <c r="X55" s="200"/>
      <c r="Y55" s="200"/>
      <c r="Z55" s="200"/>
      <c r="AA55" s="202"/>
      <c r="AB55" s="200"/>
      <c r="AC55" s="200"/>
      <c r="AD55" s="200"/>
      <c r="AE55" s="196"/>
      <c r="AF55" s="196"/>
      <c r="AG55" s="196"/>
    </row>
    <row r="58" spans="1:36">
      <c r="AB58" s="89">
        <v>48000</v>
      </c>
    </row>
    <row r="59" spans="1:36">
      <c r="AB59" s="89">
        <f>AB52/AB58</f>
        <v>374.388090916827</v>
      </c>
    </row>
  </sheetData>
  <mergeCells count="47">
    <mergeCell ref="A1:AG1"/>
    <mergeCell ref="A2:AG2"/>
    <mergeCell ref="G3:H3"/>
    <mergeCell ref="I3:J3"/>
    <mergeCell ref="K3:L3"/>
    <mergeCell ref="M3:N3"/>
    <mergeCell ref="O3:P3"/>
    <mergeCell ref="Q3:R3"/>
    <mergeCell ref="S3:T3"/>
    <mergeCell ref="U3:V3"/>
    <mergeCell ref="W3:X3"/>
    <mergeCell ref="Y3:Z3"/>
    <mergeCell ref="AA3:AB3"/>
    <mergeCell ref="AC3:AD3"/>
    <mergeCell ref="AE3:AF3"/>
    <mergeCell ref="G4:H4"/>
    <mergeCell ref="I4:J4"/>
    <mergeCell ref="K4:L4"/>
    <mergeCell ref="M4:N4"/>
    <mergeCell ref="O4:P4"/>
    <mergeCell ref="Q4:R4"/>
    <mergeCell ref="S4:T4"/>
    <mergeCell ref="U4:V4"/>
    <mergeCell ref="W4:X4"/>
    <mergeCell ref="Y4:Z4"/>
    <mergeCell ref="AA4:AB4"/>
    <mergeCell ref="AC4:AD4"/>
    <mergeCell ref="B52:C52"/>
    <mergeCell ref="A53:AG53"/>
    <mergeCell ref="A54:AB54"/>
    <mergeCell ref="AE54:AG54"/>
    <mergeCell ref="A55:AB55"/>
    <mergeCell ref="AE55:AG55"/>
    <mergeCell ref="A3:A5"/>
    <mergeCell ref="B3:B5"/>
    <mergeCell ref="C3:C5"/>
    <mergeCell ref="C12:C16"/>
    <mergeCell ref="C18:C20"/>
    <mergeCell ref="C22:C24"/>
    <mergeCell ref="C30:C31"/>
    <mergeCell ref="C39:C40"/>
    <mergeCell ref="D3:D5"/>
    <mergeCell ref="D12:D16"/>
    <mergeCell ref="D18:D20"/>
    <mergeCell ref="D22:D24"/>
    <mergeCell ref="E3:E5"/>
    <mergeCell ref="F3:F5"/>
  </mergeCells>
  <pageMargins left="0.196527777777778" right="0.196527777777778" top="0.196527777777778" bottom="0.196527777777778" header="0" footer="0"/>
  <pageSetup paperSize="8" scale="30"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L20"/>
  <sheetViews>
    <sheetView view="pageBreakPreview" zoomScale="70" zoomScaleNormal="100" workbookViewId="0">
      <pane xSplit="3" ySplit="4" topLeftCell="D6" activePane="bottomRight" state="frozen"/>
      <selection/>
      <selection pane="topRight"/>
      <selection pane="bottomLeft"/>
      <selection pane="bottomRight" activeCell="C5" sqref="C5:C7"/>
    </sheetView>
  </sheetViews>
  <sheetFormatPr defaultColWidth="8.89166666666667" defaultRowHeight="13.5"/>
  <cols>
    <col min="1" max="1" width="6" style="14" customWidth="1"/>
    <col min="2" max="2" width="14.225" style="14" customWidth="1"/>
    <col min="3" max="3" width="134.241666666667"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2" width="14" style="13"/>
    <col min="13" max="16384" width="8.89166666666667" style="13"/>
  </cols>
  <sheetData>
    <row r="1" s="9" customFormat="1" ht="28" customHeight="1" spans="1:12">
      <c r="A1" s="16" t="s">
        <v>115</v>
      </c>
      <c r="B1" s="16"/>
      <c r="C1" s="16"/>
      <c r="D1" s="16"/>
      <c r="E1" s="16"/>
      <c r="F1" s="16"/>
      <c r="G1" s="17"/>
      <c r="H1" s="17"/>
      <c r="I1" s="17"/>
      <c r="J1" s="16"/>
    </row>
    <row r="2" s="10" customFormat="1" ht="24" customHeight="1" spans="1:12">
      <c r="A2" s="18" t="s">
        <v>116</v>
      </c>
      <c r="B2" s="19"/>
      <c r="C2" s="20"/>
      <c r="D2" s="20"/>
      <c r="E2" s="20"/>
      <c r="F2" s="20"/>
      <c r="G2" s="21"/>
      <c r="H2" s="22"/>
      <c r="I2" s="22"/>
      <c r="J2" s="20"/>
    </row>
    <row r="3" s="11" customFormat="1" ht="24" customHeight="1" spans="1:12">
      <c r="A3" s="23" t="s">
        <v>2</v>
      </c>
      <c r="B3" s="23" t="s">
        <v>3</v>
      </c>
      <c r="C3" s="23" t="s">
        <v>117</v>
      </c>
      <c r="D3" s="24" t="s">
        <v>5</v>
      </c>
      <c r="E3" s="23" t="s">
        <v>6</v>
      </c>
      <c r="F3" s="25" t="s">
        <v>118</v>
      </c>
      <c r="G3" s="26" t="s">
        <v>119</v>
      </c>
      <c r="H3" s="27" t="s">
        <v>120</v>
      </c>
      <c r="I3" s="27"/>
      <c r="J3" s="23" t="s">
        <v>35</v>
      </c>
    </row>
    <row r="4" s="11" customFormat="1" ht="62" customHeight="1" spans="1:12">
      <c r="A4" s="23"/>
      <c r="B4" s="23"/>
      <c r="C4" s="23"/>
      <c r="D4" s="24"/>
      <c r="E4" s="23"/>
      <c r="F4" s="28"/>
      <c r="G4" s="29"/>
      <c r="H4" s="27" t="s">
        <v>121</v>
      </c>
      <c r="I4" s="27" t="s">
        <v>33</v>
      </c>
      <c r="J4" s="23"/>
    </row>
    <row r="5" s="10" customFormat="1" ht="271" customHeight="1" spans="1:12">
      <c r="A5" s="30">
        <v>1</v>
      </c>
      <c r="B5" s="31" t="s">
        <v>122</v>
      </c>
      <c r="C5" s="32" t="s">
        <v>123</v>
      </c>
      <c r="D5" s="33" t="s">
        <v>124</v>
      </c>
      <c r="E5" s="31" t="s">
        <v>125</v>
      </c>
      <c r="F5" s="31">
        <v>1</v>
      </c>
      <c r="G5" s="34">
        <v>723479.141926605</v>
      </c>
      <c r="H5" s="35">
        <v>0.05</v>
      </c>
      <c r="I5" s="34">
        <f>G5*(1-H5)</f>
        <v>687305.184830275</v>
      </c>
      <c r="J5" s="30"/>
    </row>
    <row r="6" s="10" customFormat="1" ht="162" customHeight="1" spans="1:12">
      <c r="A6" s="36"/>
      <c r="B6" s="37"/>
      <c r="C6" s="38"/>
      <c r="D6" s="39"/>
      <c r="E6" s="37"/>
      <c r="F6" s="37"/>
      <c r="G6" s="40"/>
      <c r="H6" s="35"/>
      <c r="I6" s="40"/>
      <c r="J6" s="36"/>
    </row>
    <row r="7" s="12" customFormat="1" ht="29" customHeight="1" spans="1:12">
      <c r="A7" s="47">
        <v>2</v>
      </c>
      <c r="B7" s="48" t="s">
        <v>65</v>
      </c>
      <c r="C7" s="49"/>
      <c r="D7" s="50"/>
      <c r="E7" s="48"/>
      <c r="F7" s="48"/>
      <c r="G7" s="51"/>
      <c r="H7" s="51"/>
      <c r="I7" s="51">
        <f>SUM(I5:I6)</f>
        <v>687305.184830275</v>
      </c>
      <c r="J7" s="48"/>
    </row>
    <row r="8" s="12" customFormat="1" ht="29" customHeight="1" spans="1:12">
      <c r="A8" s="47">
        <v>3</v>
      </c>
      <c r="B8" s="48" t="s">
        <v>66</v>
      </c>
      <c r="C8" s="49"/>
      <c r="D8" s="50"/>
      <c r="E8" s="48"/>
      <c r="F8" s="48"/>
      <c r="G8" s="53"/>
      <c r="H8" s="54">
        <v>0.09</v>
      </c>
      <c r="I8" s="51">
        <f>I7*H8</f>
        <v>61857.4666347247</v>
      </c>
      <c r="J8" s="48"/>
      <c r="K8" s="55"/>
    </row>
    <row r="9" s="12" customFormat="1" ht="29" customHeight="1" spans="1:12">
      <c r="A9" s="47">
        <v>4</v>
      </c>
      <c r="B9" s="48" t="s">
        <v>67</v>
      </c>
      <c r="C9" s="49"/>
      <c r="D9" s="50"/>
      <c r="E9" s="48"/>
      <c r="F9" s="48"/>
      <c r="G9" s="51"/>
      <c r="H9" s="51"/>
      <c r="I9" s="51">
        <f>I7+I8</f>
        <v>749162.651465</v>
      </c>
      <c r="J9" s="48"/>
      <c r="K9" s="12">
        <v>726000</v>
      </c>
      <c r="L9" s="12">
        <f>I9-K9</f>
        <v>23162.6514649995</v>
      </c>
    </row>
    <row r="10" s="10" customFormat="1" ht="157" customHeight="1" spans="1:12">
      <c r="A10" s="56" t="s">
        <v>126</v>
      </c>
      <c r="B10" s="57"/>
      <c r="C10" s="58"/>
      <c r="D10" s="58"/>
      <c r="E10" s="58"/>
      <c r="F10" s="58"/>
      <c r="G10" s="58"/>
      <c r="H10" s="57"/>
      <c r="I10" s="57"/>
      <c r="J10" s="58"/>
    </row>
    <row r="11" ht="45" customHeight="1" spans="1:12">
      <c r="A11" s="59" t="s">
        <v>127</v>
      </c>
      <c r="B11" s="59"/>
      <c r="C11" s="59"/>
      <c r="D11" s="59"/>
      <c r="E11" s="59"/>
      <c r="F11" s="59"/>
      <c r="G11" s="59"/>
      <c r="H11" s="59"/>
      <c r="I11" s="59"/>
      <c r="J11" s="59"/>
    </row>
    <row r="12" ht="45" hidden="1" customHeight="1" spans="1:12">
      <c r="A12" s="59" t="s">
        <v>114</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4">
    <mergeCell ref="A1:J1"/>
    <mergeCell ref="A2:J2"/>
    <mergeCell ref="H3:I3"/>
    <mergeCell ref="A10:J10"/>
    <mergeCell ref="A11:J11"/>
    <mergeCell ref="A12:J12"/>
    <mergeCell ref="A3:A4"/>
    <mergeCell ref="A5:A6"/>
    <mergeCell ref="B3:B4"/>
    <mergeCell ref="B5:B6"/>
    <mergeCell ref="C3:C4"/>
    <mergeCell ref="C5:C6"/>
    <mergeCell ref="D3:D4"/>
    <mergeCell ref="D5:D6"/>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7" fitToHeight="0" orientation="landscape" horizontalDpi="600"/>
  <headerFooter/>
  <rowBreaks count="1" manualBreakCount="1">
    <brk id="11" max="9"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K20"/>
  <sheetViews>
    <sheetView view="pageBreakPreview" zoomScaleNormal="100" workbookViewId="0">
      <pane xSplit="3" ySplit="4" topLeftCell="D5" activePane="bottomRight" state="frozen"/>
      <selection/>
      <selection pane="topRight"/>
      <selection pane="bottomLeft"/>
      <selection pane="bottomRight" activeCell="C5" sqref="C5:C7"/>
    </sheetView>
  </sheetViews>
  <sheetFormatPr defaultColWidth="8.89166666666667" defaultRowHeight="13.5"/>
  <cols>
    <col min="1" max="1" width="6" style="14" customWidth="1"/>
    <col min="2" max="2" width="14.225" style="14" customWidth="1"/>
    <col min="3" max="3" width="134.241666666667"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6384" width="8.89166666666667" style="13"/>
  </cols>
  <sheetData>
    <row r="1" s="9" customFormat="1" ht="28" customHeight="1" spans="1:11">
      <c r="A1" s="16" t="s">
        <v>128</v>
      </c>
      <c r="B1" s="16"/>
      <c r="C1" s="16"/>
      <c r="D1" s="16"/>
      <c r="E1" s="16"/>
      <c r="F1" s="16"/>
      <c r="G1" s="17"/>
      <c r="H1" s="17"/>
      <c r="I1" s="17"/>
      <c r="J1" s="16"/>
    </row>
    <row r="2" s="10" customFormat="1" ht="24" customHeight="1" spans="1:11">
      <c r="A2" s="18" t="s">
        <v>129</v>
      </c>
      <c r="B2" s="19"/>
      <c r="C2" s="20"/>
      <c r="D2" s="20"/>
      <c r="E2" s="20"/>
      <c r="F2" s="20"/>
      <c r="G2" s="21"/>
      <c r="H2" s="22"/>
      <c r="I2" s="22"/>
      <c r="J2" s="20"/>
    </row>
    <row r="3" s="11" customFormat="1" ht="24" customHeight="1" spans="1:11">
      <c r="A3" s="23" t="s">
        <v>2</v>
      </c>
      <c r="B3" s="23" t="s">
        <v>3</v>
      </c>
      <c r="C3" s="23" t="s">
        <v>117</v>
      </c>
      <c r="D3" s="24" t="s">
        <v>5</v>
      </c>
      <c r="E3" s="23" t="s">
        <v>6</v>
      </c>
      <c r="F3" s="25" t="s">
        <v>118</v>
      </c>
      <c r="G3" s="26" t="s">
        <v>130</v>
      </c>
      <c r="H3" s="27" t="s">
        <v>120</v>
      </c>
      <c r="I3" s="27"/>
      <c r="J3" s="23" t="s">
        <v>35</v>
      </c>
    </row>
    <row r="4" s="11" customFormat="1" ht="62" customHeight="1" spans="1:11">
      <c r="A4" s="23"/>
      <c r="B4" s="23"/>
      <c r="C4" s="23"/>
      <c r="D4" s="24"/>
      <c r="E4" s="23"/>
      <c r="F4" s="28"/>
      <c r="G4" s="29"/>
      <c r="H4" s="27" t="s">
        <v>121</v>
      </c>
      <c r="I4" s="27" t="s">
        <v>33</v>
      </c>
      <c r="J4" s="23"/>
    </row>
    <row r="5" s="10" customFormat="1" ht="271" customHeight="1" spans="1:11">
      <c r="A5" s="30">
        <v>1</v>
      </c>
      <c r="B5" s="31" t="s">
        <v>131</v>
      </c>
      <c r="C5" s="79" t="s">
        <v>132</v>
      </c>
      <c r="D5" s="71" t="s">
        <v>133</v>
      </c>
      <c r="E5" s="31" t="s">
        <v>125</v>
      </c>
      <c r="F5" s="31">
        <v>1</v>
      </c>
      <c r="G5" s="34">
        <v>2282004.4</v>
      </c>
      <c r="H5" s="35">
        <v>0.08</v>
      </c>
      <c r="I5" s="34">
        <f>G5*(1-H5)</f>
        <v>2099444.048</v>
      </c>
      <c r="J5" s="30"/>
    </row>
    <row r="6" s="10" customFormat="1" ht="24" customHeight="1" spans="1:11">
      <c r="A6" s="36"/>
      <c r="B6" s="37"/>
      <c r="C6" s="80"/>
      <c r="D6" s="81"/>
      <c r="E6" s="37"/>
      <c r="F6" s="37"/>
      <c r="G6" s="40"/>
      <c r="H6" s="35"/>
      <c r="I6" s="40"/>
      <c r="J6" s="36"/>
    </row>
    <row r="7" s="10" customFormat="1" ht="125" customHeight="1" spans="1:11">
      <c r="A7" s="36">
        <v>2</v>
      </c>
      <c r="B7" s="37" t="s">
        <v>134</v>
      </c>
      <c r="C7" s="82"/>
      <c r="D7" s="83"/>
      <c r="E7" s="37" t="s">
        <v>125</v>
      </c>
      <c r="F7" s="37">
        <v>1</v>
      </c>
      <c r="G7" s="40">
        <f>797100/1.09</f>
        <v>731284.403669725</v>
      </c>
      <c r="H7" s="35">
        <v>0.1</v>
      </c>
      <c r="I7" s="40">
        <f>G7*(1-H7)</f>
        <v>658155.963302752</v>
      </c>
      <c r="J7" s="83" t="s">
        <v>135</v>
      </c>
    </row>
    <row r="8" s="12" customFormat="1" ht="29" customHeight="1" spans="1:11">
      <c r="A8" s="47">
        <v>3</v>
      </c>
      <c r="B8" s="48" t="s">
        <v>65</v>
      </c>
      <c r="C8" s="49"/>
      <c r="D8" s="50"/>
      <c r="E8" s="48"/>
      <c r="F8" s="48"/>
      <c r="G8" s="51"/>
      <c r="H8" s="51"/>
      <c r="I8" s="51">
        <f>SUM(I5:I7)</f>
        <v>2757600.01130275</v>
      </c>
      <c r="J8" s="48"/>
      <c r="K8" s="12">
        <v>2099444.048</v>
      </c>
    </row>
    <row r="9" s="12" customFormat="1" ht="29" customHeight="1" spans="1:11">
      <c r="A9" s="47">
        <v>4</v>
      </c>
      <c r="B9" s="48" t="s">
        <v>66</v>
      </c>
      <c r="C9" s="49"/>
      <c r="D9" s="50"/>
      <c r="E9" s="48"/>
      <c r="F9" s="48"/>
      <c r="G9" s="53"/>
      <c r="H9" s="54">
        <v>0.09</v>
      </c>
      <c r="I9" s="51">
        <f>I8*H9</f>
        <v>248184.001017248</v>
      </c>
      <c r="J9" s="48"/>
      <c r="K9" s="55"/>
    </row>
    <row r="10" s="12" customFormat="1" ht="29" customHeight="1" spans="1:11">
      <c r="A10" s="47">
        <v>5</v>
      </c>
      <c r="B10" s="48" t="s">
        <v>67</v>
      </c>
      <c r="C10" s="49"/>
      <c r="D10" s="50"/>
      <c r="E10" s="48"/>
      <c r="F10" s="48"/>
      <c r="G10" s="51"/>
      <c r="H10" s="51"/>
      <c r="I10" s="51">
        <f>I8+I9</f>
        <v>3005784.01232</v>
      </c>
      <c r="J10" s="48"/>
    </row>
    <row r="11" s="10" customFormat="1" ht="135" customHeight="1" spans="1:11">
      <c r="A11" s="56" t="s">
        <v>126</v>
      </c>
      <c r="B11" s="57"/>
      <c r="C11" s="58"/>
      <c r="D11" s="58"/>
      <c r="E11" s="58"/>
      <c r="F11" s="58"/>
      <c r="G11" s="58"/>
      <c r="H11" s="57"/>
      <c r="I11" s="57"/>
      <c r="J11" s="58"/>
    </row>
    <row r="12" s="13" customFormat="1" ht="45" customHeight="1" spans="1:11">
      <c r="A12" s="59" t="s">
        <v>127</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3">
    <mergeCell ref="A1:J1"/>
    <mergeCell ref="A2:J2"/>
    <mergeCell ref="H3:I3"/>
    <mergeCell ref="A11:J11"/>
    <mergeCell ref="A12:J12"/>
    <mergeCell ref="A3:A4"/>
    <mergeCell ref="A5:A6"/>
    <mergeCell ref="B3:B4"/>
    <mergeCell ref="B5:B6"/>
    <mergeCell ref="C3:C4"/>
    <mergeCell ref="C5:C7"/>
    <mergeCell ref="D3:D4"/>
    <mergeCell ref="D5:D7"/>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outlinePr summaryBelow="0" summaryRight="0"/>
  </sheetPr>
  <dimension ref="A1:M18"/>
  <sheetViews>
    <sheetView tabSelected="1" view="pageBreakPreview" zoomScale="85" zoomScaleNormal="100" workbookViewId="0">
      <pane xSplit="3" ySplit="4" topLeftCell="D5" activePane="bottomRight" state="frozen"/>
      <selection/>
      <selection pane="topRight"/>
      <selection pane="bottomLeft"/>
      <selection pane="bottomRight" activeCell="G5" sqref="G5"/>
    </sheetView>
  </sheetViews>
  <sheetFormatPr defaultColWidth="8.89166666666667" defaultRowHeight="13.5"/>
  <cols>
    <col min="1" max="1" width="6" style="14" customWidth="1"/>
    <col min="2" max="2" width="14.225" style="14" customWidth="1"/>
    <col min="3" max="3" width="131.616666666667" style="14" customWidth="1" outlineLevel="1"/>
    <col min="4" max="4" width="15.8833333333333" style="14" customWidth="1"/>
    <col min="5" max="5" width="5.50833333333333" style="14" customWidth="1"/>
    <col min="6" max="6" width="9.88333333333333" style="14" customWidth="1"/>
    <col min="7" max="7" width="17.5" style="15" customWidth="1"/>
    <col min="8" max="8" width="10.4416666666667" style="15" customWidth="1"/>
    <col min="9" max="9" width="13.8166666666667" style="15" customWidth="1"/>
    <col min="10" max="10" width="10.4416666666667" style="15" customWidth="1"/>
    <col min="11" max="11" width="12.1333333333333" style="15" customWidth="1"/>
    <col min="12" max="12" width="8" style="14" customWidth="1"/>
    <col min="13" max="13" width="28.3833333333333" style="13" customWidth="1"/>
    <col min="14" max="16384" width="8.89166666666667" style="13"/>
  </cols>
  <sheetData>
    <row r="1" s="9" customFormat="1" ht="28" customHeight="1" spans="1:13">
      <c r="A1" s="16" t="s">
        <v>136</v>
      </c>
      <c r="B1" s="16"/>
      <c r="C1" s="16"/>
      <c r="D1" s="16"/>
      <c r="E1" s="16"/>
      <c r="F1" s="16"/>
      <c r="G1" s="17"/>
      <c r="H1" s="17"/>
      <c r="I1" s="17"/>
      <c r="J1" s="17"/>
      <c r="K1" s="17"/>
      <c r="L1" s="16"/>
    </row>
    <row r="2" s="10" customFormat="1" ht="24" customHeight="1" spans="1:13">
      <c r="A2" s="18" t="s">
        <v>137</v>
      </c>
      <c r="B2" s="19"/>
      <c r="C2" s="20"/>
      <c r="D2" s="20"/>
      <c r="E2" s="20"/>
      <c r="F2" s="20"/>
      <c r="G2" s="21"/>
      <c r="H2" s="22"/>
      <c r="I2" s="22"/>
      <c r="J2" s="22"/>
      <c r="K2" s="22"/>
      <c r="L2" s="20"/>
    </row>
    <row r="3" s="11" customFormat="1" ht="24" customHeight="1" spans="1:13">
      <c r="A3" s="23" t="s">
        <v>2</v>
      </c>
      <c r="B3" s="23" t="s">
        <v>3</v>
      </c>
      <c r="C3" s="23" t="s">
        <v>117</v>
      </c>
      <c r="D3" s="24" t="s">
        <v>5</v>
      </c>
      <c r="E3" s="23" t="s">
        <v>6</v>
      </c>
      <c r="F3" s="25" t="s">
        <v>118</v>
      </c>
      <c r="G3" s="26" t="s">
        <v>138</v>
      </c>
      <c r="H3" s="27" t="s">
        <v>120</v>
      </c>
      <c r="I3" s="27"/>
      <c r="J3" s="27" t="s">
        <v>139</v>
      </c>
      <c r="K3" s="27"/>
      <c r="L3" s="23" t="s">
        <v>35</v>
      </c>
    </row>
    <row r="4" s="11" customFormat="1" ht="67" customHeight="1" spans="1:13">
      <c r="A4" s="23"/>
      <c r="B4" s="23"/>
      <c r="C4" s="23"/>
      <c r="D4" s="24"/>
      <c r="E4" s="23"/>
      <c r="F4" s="28"/>
      <c r="G4" s="29"/>
      <c r="H4" s="27" t="s">
        <v>140</v>
      </c>
      <c r="I4" s="27" t="s">
        <v>33</v>
      </c>
      <c r="J4" s="27" t="s">
        <v>140</v>
      </c>
      <c r="K4" s="27" t="s">
        <v>33</v>
      </c>
      <c r="L4" s="23"/>
    </row>
    <row r="5" s="10" customFormat="1" ht="408" customHeight="1" spans="1:13">
      <c r="A5" s="30">
        <v>1</v>
      </c>
      <c r="B5" s="31" t="s">
        <v>141</v>
      </c>
      <c r="C5" s="32" t="s">
        <v>142</v>
      </c>
      <c r="D5" s="71" t="s">
        <v>143</v>
      </c>
      <c r="E5" s="31" t="s">
        <v>125</v>
      </c>
      <c r="F5" s="72">
        <v>1</v>
      </c>
      <c r="G5" s="73">
        <v>2117580.74311927</v>
      </c>
      <c r="H5" s="35">
        <v>0.93</v>
      </c>
      <c r="I5" s="73">
        <f>G5*H5</f>
        <v>1969350.09110092</v>
      </c>
      <c r="J5" s="35"/>
      <c r="K5" s="73">
        <f>G5*J5</f>
        <v>0</v>
      </c>
      <c r="L5" s="74"/>
    </row>
    <row r="6" s="12" customFormat="1" ht="29" customHeight="1" spans="1:13">
      <c r="A6" s="47" t="s">
        <v>68</v>
      </c>
      <c r="B6" s="48" t="s">
        <v>65</v>
      </c>
      <c r="C6" s="49"/>
      <c r="D6" s="50"/>
      <c r="E6" s="48"/>
      <c r="F6" s="48"/>
      <c r="G6" s="51"/>
      <c r="H6" s="75"/>
      <c r="I6" s="76">
        <f>SUM(I5:I5)</f>
        <v>1969350.09110092</v>
      </c>
      <c r="J6" s="75"/>
      <c r="K6" s="76">
        <f>SUM(K5:K5)</f>
        <v>0</v>
      </c>
      <c r="L6" s="48"/>
      <c r="M6" s="10"/>
    </row>
    <row r="7" s="12" customFormat="1" ht="29" customHeight="1" spans="1:13">
      <c r="A7" s="47" t="s">
        <v>104</v>
      </c>
      <c r="B7" s="48" t="s">
        <v>144</v>
      </c>
      <c r="C7" s="49"/>
      <c r="D7" s="50"/>
      <c r="E7" s="48"/>
      <c r="F7" s="48"/>
      <c r="G7" s="53"/>
      <c r="H7" s="77">
        <v>0.09</v>
      </c>
      <c r="I7" s="76">
        <f>I6*H7</f>
        <v>177241.508199083</v>
      </c>
      <c r="J7" s="77"/>
      <c r="K7" s="76">
        <f>K6*J7</f>
        <v>0</v>
      </c>
      <c r="L7" s="48"/>
      <c r="M7" s="10"/>
    </row>
    <row r="8" s="12" customFormat="1" ht="29" customHeight="1" spans="1:13">
      <c r="A8" s="47" t="s">
        <v>110</v>
      </c>
      <c r="B8" s="48" t="s">
        <v>67</v>
      </c>
      <c r="C8" s="49"/>
      <c r="D8" s="50"/>
      <c r="E8" s="48"/>
      <c r="F8" s="48"/>
      <c r="G8" s="51"/>
      <c r="H8" s="51"/>
      <c r="I8" s="76">
        <f>I6+I7</f>
        <v>2146591.5993</v>
      </c>
      <c r="J8" s="51"/>
      <c r="K8" s="76">
        <f>K6+K7</f>
        <v>0</v>
      </c>
      <c r="L8" s="48"/>
    </row>
    <row r="9" s="10" customFormat="1" ht="132" customHeight="1" spans="1:13">
      <c r="A9" s="58" t="s">
        <v>145</v>
      </c>
      <c r="B9" s="57"/>
      <c r="C9" s="58"/>
      <c r="D9" s="58"/>
      <c r="E9" s="58"/>
      <c r="F9" s="58"/>
      <c r="G9" s="58"/>
      <c r="H9" s="57"/>
      <c r="I9" s="57"/>
      <c r="J9" s="57"/>
      <c r="K9" s="57"/>
      <c r="L9" s="58"/>
    </row>
    <row r="10" s="13" customFormat="1" ht="68" customHeight="1" spans="1:13">
      <c r="A10" s="78" t="s">
        <v>146</v>
      </c>
      <c r="B10" s="59"/>
      <c r="C10" s="59"/>
      <c r="D10" s="59"/>
      <c r="E10" s="59"/>
      <c r="F10" s="59"/>
      <c r="G10" s="59"/>
      <c r="H10" s="59"/>
      <c r="I10" s="59"/>
      <c r="J10" s="59"/>
      <c r="K10" s="59"/>
      <c r="L10" s="59"/>
    </row>
    <row r="11" ht="28" customHeight="1"/>
    <row r="12" ht="28" customHeight="1"/>
    <row r="13" ht="28" customHeight="1"/>
    <row r="14" ht="28" customHeight="1"/>
    <row r="15" ht="28" customHeight="1"/>
    <row r="16" ht="28" customHeight="1"/>
    <row r="17" ht="28" customHeight="1"/>
    <row r="18" ht="28" customHeight="1"/>
  </sheetData>
  <mergeCells count="14">
    <mergeCell ref="A1:L1"/>
    <mergeCell ref="A2:L2"/>
    <mergeCell ref="H3:I3"/>
    <mergeCell ref="J3:K3"/>
    <mergeCell ref="A9:L9"/>
    <mergeCell ref="A10:L10"/>
    <mergeCell ref="A3:A4"/>
    <mergeCell ref="B3:B4"/>
    <mergeCell ref="C3:C4"/>
    <mergeCell ref="D3:D4"/>
    <mergeCell ref="E3:E4"/>
    <mergeCell ref="F3:F4"/>
    <mergeCell ref="G3:G4"/>
    <mergeCell ref="L3:L4"/>
  </mergeCells>
  <printOptions horizontalCentered="1"/>
  <pageMargins left="0" right="0" top="0" bottom="0" header="0" footer="0"/>
  <pageSetup paperSize="9" scale="5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opLeftCell="A4" workbookViewId="0">
      <selection activeCell="D28" sqref="D28"/>
    </sheetView>
  </sheetViews>
  <sheetFormatPr defaultColWidth="7.16666666666667" defaultRowHeight="11.25" outlineLevelCol="6"/>
  <cols>
    <col min="1" max="1" width="7.03333333333333" style="60" customWidth="1"/>
    <col min="2" max="2" width="3.73333333333333" style="60" customWidth="1"/>
    <col min="3" max="3" width="30.8916666666667" style="60" customWidth="1"/>
    <col min="4" max="4" width="17.225" style="60" customWidth="1"/>
    <col min="5" max="5" width="3.05" style="60" customWidth="1"/>
    <col min="6" max="6" width="11.5833333333333" style="60" customWidth="1"/>
    <col min="7" max="7" width="13.4166666666667" style="60" customWidth="1"/>
    <col min="8" max="16384" width="7.16666666666667" style="60"/>
  </cols>
  <sheetData>
    <row r="1" s="60" customFormat="1" ht="36" customHeight="1" spans="1:7">
      <c r="A1" s="61" t="s">
        <v>147</v>
      </c>
      <c r="B1" s="61"/>
      <c r="C1" s="61"/>
      <c r="D1" s="61"/>
      <c r="E1" s="61"/>
      <c r="F1" s="61"/>
      <c r="G1" s="61"/>
    </row>
    <row r="2" s="60" customFormat="1" ht="34" customHeight="1" spans="1:7">
      <c r="A2" s="62" t="s">
        <v>148</v>
      </c>
      <c r="B2" s="62"/>
      <c r="C2" s="62" t="s">
        <v>149</v>
      </c>
      <c r="D2" s="62"/>
      <c r="E2" s="62"/>
      <c r="F2" s="63" t="s">
        <v>150</v>
      </c>
      <c r="G2" s="63"/>
    </row>
    <row r="3" s="60" customFormat="1" ht="23" customHeight="1" spans="1:7">
      <c r="A3" s="64" t="s">
        <v>2</v>
      </c>
      <c r="B3" s="64" t="s">
        <v>151</v>
      </c>
      <c r="C3" s="64"/>
      <c r="D3" s="64" t="s">
        <v>152</v>
      </c>
      <c r="E3" s="64" t="s">
        <v>153</v>
      </c>
      <c r="F3" s="64"/>
      <c r="G3" s="64"/>
    </row>
    <row r="4" s="60" customFormat="1" ht="36" customHeight="1" spans="1:7">
      <c r="A4" s="64"/>
      <c r="B4" s="64"/>
      <c r="C4" s="64"/>
      <c r="D4" s="64"/>
      <c r="E4" s="64" t="s">
        <v>154</v>
      </c>
      <c r="F4" s="64"/>
      <c r="G4" s="64" t="s">
        <v>155</v>
      </c>
    </row>
    <row r="5" s="60" customFormat="1" ht="36" customHeight="1" spans="1:7">
      <c r="A5" s="65" t="s">
        <v>156</v>
      </c>
      <c r="B5" s="66" t="s">
        <v>157</v>
      </c>
      <c r="C5" s="66"/>
      <c r="D5" s="67" t="s">
        <v>156</v>
      </c>
      <c r="E5" s="67" t="s">
        <v>156</v>
      </c>
      <c r="F5" s="67"/>
      <c r="G5" s="67" t="s">
        <v>156</v>
      </c>
    </row>
    <row r="6" s="60" customFormat="1" ht="23" customHeight="1" spans="1:7">
      <c r="A6" s="65" t="s">
        <v>36</v>
      </c>
      <c r="B6" s="66" t="s">
        <v>158</v>
      </c>
      <c r="C6" s="66"/>
      <c r="D6" s="67" t="s">
        <v>156</v>
      </c>
      <c r="E6" s="67" t="s">
        <v>156</v>
      </c>
      <c r="F6" s="67"/>
      <c r="G6" s="67" t="s">
        <v>156</v>
      </c>
    </row>
    <row r="7" s="60" customFormat="1" ht="36" customHeight="1" spans="1:7">
      <c r="A7" s="65" t="s">
        <v>159</v>
      </c>
      <c r="B7" s="66" t="s">
        <v>160</v>
      </c>
      <c r="C7" s="66"/>
      <c r="D7" s="68">
        <v>268465.38</v>
      </c>
      <c r="E7" s="67" t="s">
        <v>156</v>
      </c>
      <c r="F7" s="67"/>
      <c r="G7" s="68">
        <v>22020.73</v>
      </c>
    </row>
    <row r="8" s="60" customFormat="1" ht="23" customHeight="1" spans="1:7">
      <c r="A8" s="65" t="s">
        <v>161</v>
      </c>
      <c r="B8" s="66" t="s">
        <v>162</v>
      </c>
      <c r="C8" s="66"/>
      <c r="D8" s="68">
        <v>118388.4</v>
      </c>
      <c r="E8" s="67" t="s">
        <v>156</v>
      </c>
      <c r="F8" s="67"/>
      <c r="G8" s="68">
        <v>12487.62</v>
      </c>
    </row>
    <row r="9" s="60" customFormat="1" ht="23" customHeight="1" spans="1:7">
      <c r="A9" s="65" t="s">
        <v>163</v>
      </c>
      <c r="B9" s="66" t="s">
        <v>164</v>
      </c>
      <c r="C9" s="66"/>
      <c r="D9" s="68">
        <v>92048.28</v>
      </c>
      <c r="E9" s="67" t="s">
        <v>156</v>
      </c>
      <c r="F9" s="67"/>
      <c r="G9" s="68">
        <v>9203.38</v>
      </c>
    </row>
    <row r="10" s="60" customFormat="1" ht="23" customHeight="1" spans="1:7">
      <c r="A10" s="65" t="s">
        <v>165</v>
      </c>
      <c r="B10" s="66" t="s">
        <v>166</v>
      </c>
      <c r="C10" s="66"/>
      <c r="D10" s="68">
        <v>255685.35</v>
      </c>
      <c r="E10" s="67" t="s">
        <v>156</v>
      </c>
      <c r="F10" s="67"/>
      <c r="G10" s="68">
        <v>19641.61</v>
      </c>
    </row>
    <row r="11" s="60" customFormat="1" ht="23" customHeight="1" spans="1:7">
      <c r="A11" s="65" t="s">
        <v>167</v>
      </c>
      <c r="B11" s="66" t="s">
        <v>168</v>
      </c>
      <c r="C11" s="66"/>
      <c r="D11" s="68">
        <v>8111.22</v>
      </c>
      <c r="E11" s="67" t="s">
        <v>156</v>
      </c>
      <c r="F11" s="67"/>
      <c r="G11" s="68">
        <v>705.57</v>
      </c>
    </row>
    <row r="12" s="60" customFormat="1" ht="23" customHeight="1" spans="1:7">
      <c r="A12" s="65" t="s">
        <v>169</v>
      </c>
      <c r="B12" s="66" t="s">
        <v>170</v>
      </c>
      <c r="C12" s="66"/>
      <c r="D12" s="68">
        <v>215594.94</v>
      </c>
      <c r="E12" s="67" t="s">
        <v>156</v>
      </c>
      <c r="F12" s="67"/>
      <c r="G12" s="68">
        <v>10351.66</v>
      </c>
    </row>
    <row r="13" s="60" customFormat="1" ht="23" customHeight="1" spans="1:7">
      <c r="A13" s="65" t="s">
        <v>156</v>
      </c>
      <c r="B13" s="66" t="s">
        <v>171</v>
      </c>
      <c r="C13" s="66"/>
      <c r="D13" s="67">
        <f>SUM(D7:D12)</f>
        <v>958293.57</v>
      </c>
      <c r="E13" s="67" t="s">
        <v>156</v>
      </c>
      <c r="F13" s="67"/>
      <c r="G13" s="67">
        <f>SUM(G7:G12)</f>
        <v>74410.57</v>
      </c>
    </row>
    <row r="14" s="60" customFormat="1" ht="23" customHeight="1" spans="1:7">
      <c r="A14" s="65" t="s">
        <v>68</v>
      </c>
      <c r="B14" s="66" t="s">
        <v>172</v>
      </c>
      <c r="C14" s="66"/>
      <c r="D14" s="67" t="s">
        <v>156</v>
      </c>
      <c r="E14" s="67" t="s">
        <v>156</v>
      </c>
      <c r="F14" s="67"/>
      <c r="G14" s="67" t="s">
        <v>156</v>
      </c>
    </row>
    <row r="15" s="60" customFormat="1" ht="36" customHeight="1" spans="1:7">
      <c r="A15" s="65" t="s">
        <v>159</v>
      </c>
      <c r="B15" s="66" t="s">
        <v>173</v>
      </c>
      <c r="C15" s="66"/>
      <c r="D15" s="68">
        <v>327529.29</v>
      </c>
      <c r="E15" s="67" t="s">
        <v>156</v>
      </c>
      <c r="F15" s="67"/>
      <c r="G15" s="68">
        <v>29685.05</v>
      </c>
    </row>
    <row r="16" s="60" customFormat="1" ht="23" customHeight="1" spans="1:7">
      <c r="A16" s="65" t="s">
        <v>161</v>
      </c>
      <c r="B16" s="66" t="s">
        <v>174</v>
      </c>
      <c r="C16" s="66"/>
      <c r="D16" s="68">
        <v>305128.17</v>
      </c>
      <c r="E16" s="67" t="s">
        <v>156</v>
      </c>
      <c r="F16" s="67"/>
      <c r="G16" s="68">
        <v>6263.99</v>
      </c>
    </row>
    <row r="17" s="60" customFormat="1" ht="23" customHeight="1" spans="1:7">
      <c r="A17" s="65" t="s">
        <v>163</v>
      </c>
      <c r="B17" s="66" t="s">
        <v>175</v>
      </c>
      <c r="C17" s="66"/>
      <c r="D17" s="68">
        <v>58254.11</v>
      </c>
      <c r="E17" s="67" t="s">
        <v>156</v>
      </c>
      <c r="F17" s="67"/>
      <c r="G17" s="68">
        <v>5331.22</v>
      </c>
    </row>
    <row r="18" s="60" customFormat="1" ht="23" customHeight="1" spans="1:7">
      <c r="A18" s="65" t="s">
        <v>165</v>
      </c>
      <c r="B18" s="66" t="s">
        <v>176</v>
      </c>
      <c r="C18" s="66"/>
      <c r="D18" s="68">
        <v>340989.8</v>
      </c>
      <c r="E18" s="67" t="s">
        <v>156</v>
      </c>
      <c r="F18" s="67"/>
      <c r="G18" s="68">
        <v>28484.19</v>
      </c>
    </row>
    <row r="19" s="60" customFormat="1" ht="23" customHeight="1" spans="1:7">
      <c r="A19" s="65" t="s">
        <v>167</v>
      </c>
      <c r="B19" s="66" t="s">
        <v>177</v>
      </c>
      <c r="C19" s="66"/>
      <c r="D19" s="68">
        <v>316552.67</v>
      </c>
      <c r="E19" s="67" t="s">
        <v>156</v>
      </c>
      <c r="F19" s="67"/>
      <c r="G19" s="68">
        <v>17987.64</v>
      </c>
    </row>
    <row r="20" s="60" customFormat="1" ht="23" customHeight="1" spans="1:7">
      <c r="A20" s="65" t="s">
        <v>178</v>
      </c>
      <c r="B20" s="66" t="s">
        <v>179</v>
      </c>
      <c r="C20" s="66"/>
      <c r="D20" s="68">
        <v>1415.4</v>
      </c>
      <c r="E20" s="67" t="s">
        <v>156</v>
      </c>
      <c r="F20" s="67"/>
      <c r="G20" s="68">
        <v>136.56</v>
      </c>
    </row>
    <row r="21" s="60" customFormat="1" ht="23" customHeight="1" spans="1:7">
      <c r="A21" s="65" t="s">
        <v>156</v>
      </c>
      <c r="B21" s="66" t="s">
        <v>171</v>
      </c>
      <c r="C21" s="66"/>
      <c r="D21" s="67">
        <f>SUM(D15:D20)</f>
        <v>1349869.44</v>
      </c>
      <c r="E21" s="67" t="s">
        <v>156</v>
      </c>
      <c r="F21" s="67"/>
      <c r="G21" s="67">
        <f>SUM(G15:G20)</f>
        <v>87888.65</v>
      </c>
    </row>
    <row r="22" s="60" customFormat="1" ht="23" customHeight="1" spans="1:7">
      <c r="A22" s="65" t="s">
        <v>180</v>
      </c>
      <c r="B22" s="65"/>
      <c r="C22" s="65"/>
      <c r="D22" s="67">
        <f>D13+D21</f>
        <v>2308163.01</v>
      </c>
      <c r="E22" s="67" t="s">
        <v>156</v>
      </c>
      <c r="F22" s="67"/>
      <c r="G22" s="67">
        <f>G13+G21</f>
        <v>162299.22</v>
      </c>
    </row>
    <row r="23" s="60" customFormat="1" ht="23" customHeight="1" spans="1:7">
      <c r="A23" s="69" t="s">
        <v>181</v>
      </c>
      <c r="B23" s="69"/>
      <c r="C23" s="69"/>
      <c r="D23" s="69"/>
      <c r="E23" s="69"/>
      <c r="F23" s="69"/>
      <c r="G23" s="69"/>
    </row>
    <row r="27" spans="1:7">
      <c r="D27" s="70">
        <f>D21+D13</f>
        <v>2308163.01</v>
      </c>
    </row>
    <row r="28" spans="1:7">
      <c r="D28" s="70">
        <f>D27/1.09</f>
        <v>2117580.74311927</v>
      </c>
    </row>
  </sheetData>
  <mergeCells count="46">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A22:C22"/>
    <mergeCell ref="E22:F22"/>
    <mergeCell ref="A23:G23"/>
    <mergeCell ref="A3:A4"/>
    <mergeCell ref="D3:D4"/>
    <mergeCell ref="B3:C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outlinePr summaryBelow="0" summaryRight="0"/>
  </sheetPr>
  <dimension ref="A1:K20"/>
  <sheetViews>
    <sheetView view="pageBreakPreview" zoomScaleNormal="100" topLeftCell="B5" workbookViewId="0">
      <selection activeCell="C5" sqref="C5:C6"/>
    </sheetView>
  </sheetViews>
  <sheetFormatPr defaultColWidth="8.89166666666667" defaultRowHeight="13.5"/>
  <cols>
    <col min="1" max="1" width="6" style="14" customWidth="1"/>
    <col min="2" max="2" width="14.225" style="14" customWidth="1"/>
    <col min="3" max="3" width="150.875"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6384" width="8.89166666666667" style="13"/>
  </cols>
  <sheetData>
    <row r="1" s="9" customFormat="1" ht="28" customHeight="1" spans="1:11">
      <c r="A1" s="16" t="s">
        <v>182</v>
      </c>
      <c r="B1" s="16"/>
      <c r="C1" s="16"/>
      <c r="D1" s="16"/>
      <c r="E1" s="16"/>
      <c r="F1" s="16"/>
      <c r="G1" s="17"/>
      <c r="H1" s="17"/>
      <c r="I1" s="17"/>
      <c r="J1" s="16"/>
    </row>
    <row r="2" s="10" customFormat="1" ht="24" customHeight="1" spans="1:11">
      <c r="A2" s="18" t="s">
        <v>183</v>
      </c>
      <c r="B2" s="19"/>
      <c r="C2" s="20"/>
      <c r="D2" s="20"/>
      <c r="E2" s="20"/>
      <c r="F2" s="20"/>
      <c r="G2" s="21"/>
      <c r="H2" s="22"/>
      <c r="I2" s="22"/>
      <c r="J2" s="20"/>
    </row>
    <row r="3" s="11" customFormat="1" ht="24" customHeight="1" spans="1:11">
      <c r="A3" s="23" t="s">
        <v>2</v>
      </c>
      <c r="B3" s="23" t="s">
        <v>3</v>
      </c>
      <c r="C3" s="23" t="s">
        <v>117</v>
      </c>
      <c r="D3" s="24" t="s">
        <v>5</v>
      </c>
      <c r="E3" s="23" t="s">
        <v>6</v>
      </c>
      <c r="F3" s="25" t="s">
        <v>118</v>
      </c>
      <c r="G3" s="26" t="s">
        <v>184</v>
      </c>
      <c r="H3" s="27" t="s">
        <v>120</v>
      </c>
      <c r="I3" s="27"/>
      <c r="J3" s="23" t="s">
        <v>35</v>
      </c>
    </row>
    <row r="4" s="11" customFormat="1" ht="62" customHeight="1" spans="1:11">
      <c r="A4" s="23"/>
      <c r="B4" s="23"/>
      <c r="C4" s="23"/>
      <c r="D4" s="24"/>
      <c r="E4" s="23"/>
      <c r="F4" s="28"/>
      <c r="G4" s="29"/>
      <c r="H4" s="27" t="s">
        <v>121</v>
      </c>
      <c r="I4" s="27" t="s">
        <v>33</v>
      </c>
      <c r="J4" s="23"/>
    </row>
    <row r="5" s="10" customFormat="1" ht="271" customHeight="1" spans="1:11">
      <c r="A5" s="30">
        <v>1</v>
      </c>
      <c r="B5" s="31" t="s">
        <v>185</v>
      </c>
      <c r="C5" s="32" t="s">
        <v>186</v>
      </c>
      <c r="D5" s="33" t="s">
        <v>187</v>
      </c>
      <c r="E5" s="31" t="s">
        <v>125</v>
      </c>
      <c r="F5" s="31">
        <v>1</v>
      </c>
      <c r="G5" s="34">
        <v>731284.403669725</v>
      </c>
      <c r="H5" s="35">
        <v>0.1</v>
      </c>
      <c r="I5" s="34">
        <f>G5*(1-H5)</f>
        <v>658155.963302753</v>
      </c>
      <c r="J5" s="30" t="s">
        <v>135</v>
      </c>
    </row>
    <row r="6" s="10" customFormat="1" ht="189" customHeight="1" spans="1:11">
      <c r="A6" s="36"/>
      <c r="B6" s="37"/>
      <c r="C6" s="38"/>
      <c r="D6" s="39"/>
      <c r="E6" s="37"/>
      <c r="F6" s="37"/>
      <c r="G6" s="40"/>
      <c r="H6" s="35"/>
      <c r="I6" s="40"/>
      <c r="J6" s="36"/>
    </row>
    <row r="7" s="12" customFormat="1" ht="285" customHeight="1" spans="1:11">
      <c r="A7" s="41">
        <v>2</v>
      </c>
      <c r="B7" s="42" t="s">
        <v>188</v>
      </c>
      <c r="C7" s="43" t="s">
        <v>189</v>
      </c>
      <c r="D7" s="44" t="s">
        <v>190</v>
      </c>
      <c r="E7" s="42" t="s">
        <v>47</v>
      </c>
      <c r="F7" s="42">
        <v>2391.6</v>
      </c>
      <c r="G7" s="45">
        <v>10</v>
      </c>
      <c r="H7" s="46" t="s">
        <v>191</v>
      </c>
      <c r="I7" s="45">
        <f>F7*G7</f>
        <v>23916</v>
      </c>
      <c r="J7" s="42" t="s">
        <v>192</v>
      </c>
      <c r="K7" s="12">
        <f>I7*1.09</f>
        <v>26068.44</v>
      </c>
    </row>
    <row r="8" s="12" customFormat="1" ht="29" customHeight="1" spans="1:11">
      <c r="A8" s="47">
        <v>3</v>
      </c>
      <c r="B8" s="48" t="s">
        <v>65</v>
      </c>
      <c r="C8" s="49"/>
      <c r="D8" s="50"/>
      <c r="E8" s="48"/>
      <c r="F8" s="48"/>
      <c r="G8" s="51"/>
      <c r="H8" s="51"/>
      <c r="I8" s="51">
        <f>SUM(I5:I7)</f>
        <v>682071.963302753</v>
      </c>
      <c r="J8" s="48"/>
    </row>
    <row r="9" s="12" customFormat="1" ht="29" customHeight="1" spans="1:11">
      <c r="A9" s="52">
        <v>4</v>
      </c>
      <c r="B9" s="48" t="s">
        <v>66</v>
      </c>
      <c r="C9" s="49"/>
      <c r="D9" s="50"/>
      <c r="E9" s="48"/>
      <c r="F9" s="48"/>
      <c r="G9" s="53"/>
      <c r="H9" s="54">
        <v>0.09</v>
      </c>
      <c r="I9" s="51">
        <f>I8*H9</f>
        <v>61386.4766972477</v>
      </c>
      <c r="J9" s="48"/>
      <c r="K9" s="55"/>
    </row>
    <row r="10" s="12" customFormat="1" ht="29" customHeight="1" spans="1:11">
      <c r="A10" s="47">
        <v>5</v>
      </c>
      <c r="B10" s="48" t="s">
        <v>67</v>
      </c>
      <c r="C10" s="49"/>
      <c r="D10" s="50"/>
      <c r="E10" s="48"/>
      <c r="F10" s="48"/>
      <c r="G10" s="51"/>
      <c r="H10" s="51"/>
      <c r="I10" s="51">
        <f>I8+I9</f>
        <v>743458.44</v>
      </c>
      <c r="J10" s="48"/>
    </row>
    <row r="11" s="10" customFormat="1" ht="132" customHeight="1" spans="1:11">
      <c r="A11" s="56" t="s">
        <v>126</v>
      </c>
      <c r="B11" s="57"/>
      <c r="C11" s="58"/>
      <c r="D11" s="58"/>
      <c r="E11" s="58"/>
      <c r="F11" s="58"/>
      <c r="G11" s="58"/>
      <c r="H11" s="57"/>
      <c r="I11" s="57"/>
      <c r="J11" s="58"/>
    </row>
    <row r="12" s="13" customFormat="1" ht="45" customHeight="1" spans="1:11">
      <c r="A12" s="59" t="s">
        <v>127</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3">
    <mergeCell ref="A1:J1"/>
    <mergeCell ref="A2:J2"/>
    <mergeCell ref="H3:I3"/>
    <mergeCell ref="A11:J11"/>
    <mergeCell ref="A12:J12"/>
    <mergeCell ref="A3:A4"/>
    <mergeCell ref="A5:A6"/>
    <mergeCell ref="B3:B4"/>
    <mergeCell ref="B5:B6"/>
    <mergeCell ref="C3:C4"/>
    <mergeCell ref="C5:C6"/>
    <mergeCell ref="D3:D4"/>
    <mergeCell ref="D5:D6"/>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1"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6:I18"/>
  <sheetViews>
    <sheetView workbookViewId="0">
      <selection activeCell="C5" sqref="C5:C6"/>
    </sheetView>
  </sheetViews>
  <sheetFormatPr defaultColWidth="8.725" defaultRowHeight="13.5"/>
  <cols>
    <col min="4" max="4" width="33.45" customWidth="1"/>
    <col min="5" max="5" width="14.6333333333333" customWidth="1"/>
    <col min="6" max="6" width="37.8166666666667" customWidth="1"/>
    <col min="7" max="7" width="15.55" customWidth="1"/>
    <col min="9" max="9" width="12.0916666666667" customWidth="1"/>
  </cols>
  <sheetData>
    <row r="6" spans="4:9">
      <c r="D6" t="s">
        <v>193</v>
      </c>
      <c r="E6" s="1">
        <f>420318.36/1.09</f>
        <v>385613.174311927</v>
      </c>
    </row>
    <row r="7" spans="4:9">
      <c r="D7" t="s">
        <v>194</v>
      </c>
      <c r="E7" s="1">
        <f>345537.78/1.09</f>
        <v>317007.137614679</v>
      </c>
      <c r="G7" t="s">
        <v>195</v>
      </c>
      <c r="I7" t="s">
        <v>196</v>
      </c>
    </row>
    <row r="8" spans="4:9">
      <c r="D8" s="2" t="s">
        <v>197</v>
      </c>
      <c r="E8" s="3">
        <v>1313868.22</v>
      </c>
      <c r="F8" s="2" t="s">
        <v>198</v>
      </c>
      <c r="G8" s="4">
        <v>19322.03</v>
      </c>
      <c r="I8" s="5">
        <f>(G8+1102.13+126.55+308.12)</f>
        <v>20858.83</v>
      </c>
    </row>
    <row r="9" spans="4:9">
      <c r="D9" s="2" t="s">
        <v>199</v>
      </c>
      <c r="E9" s="3">
        <v>118641.2</v>
      </c>
    </row>
    <row r="10" spans="4:9">
      <c r="D10" s="2" t="s">
        <v>200</v>
      </c>
      <c r="E10" s="3">
        <v>236308.14</v>
      </c>
    </row>
    <row r="11" spans="4:9">
      <c r="D11" t="s">
        <v>201</v>
      </c>
      <c r="E11" s="6">
        <v>1182521.18</v>
      </c>
    </row>
    <row r="12" spans="4:9">
      <c r="D12" s="2" t="s">
        <v>202</v>
      </c>
      <c r="E12" s="3">
        <v>634045.67</v>
      </c>
    </row>
    <row r="14" spans="4:9">
      <c r="D14" t="s">
        <v>203</v>
      </c>
      <c r="E14" s="2">
        <f>E8+E10+E9+E12-I8</f>
        <v>2282004.4</v>
      </c>
    </row>
    <row r="16" spans="4:9">
      <c r="D16" t="s">
        <v>204</v>
      </c>
      <c r="E16" s="7">
        <f>E6+E7+I8</f>
        <v>723479.141926605</v>
      </c>
    </row>
    <row r="18" spans="4:5">
      <c r="D18" t="s">
        <v>201</v>
      </c>
      <c r="E18" s="8">
        <f>E11</f>
        <v>1182521.18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主体</vt:lpstr>
      <vt:lpstr>室外工程及消防工程</vt:lpstr>
      <vt:lpstr>电气及给排水、暖通专业分包工程</vt:lpstr>
      <vt:lpstr>专业分包工程</vt:lpstr>
      <vt:lpstr>Sheet1</vt:lpstr>
      <vt:lpstr>高压电缆进线工程</vt:lpstr>
      <vt:lpstr>计算式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Double</cp:lastModifiedBy>
  <dcterms:created xsi:type="dcterms:W3CDTF">2022-04-26T07:49:00Z</dcterms:created>
  <dcterms:modified xsi:type="dcterms:W3CDTF">2026-09-18T08:16:28Z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FB96356D8C464143A8377C333C4D5381_13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