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oxc2m6alms4n22_a4ce\msg\file\2026-09\"/>
    </mc:Choice>
  </mc:AlternateContent>
  <bookViews>
    <workbookView windowWidth="28800" windowHeight="12255" tabRatio="527" firstSheet="3" activeTab="3"/>
  </bookViews>
  <sheets>
    <sheet name="主体" sheetId="11" state="hidden" r:id="rId1"/>
    <sheet name="室外工程及消防工程" sheetId="12" state="hidden" r:id="rId2"/>
    <sheet name="电气及给排水、暖通专业分包工程" sheetId="13" state="hidden" r:id="rId3"/>
    <sheet name="机电安装专业分包工程" sheetId="14" r:id="rId4"/>
    <sheet name="Sheet1" sheetId="18" r:id="rId5"/>
    <sheet name="高压电缆进线工程" sheetId="17" state="hidden" r:id="rId6"/>
    <sheet name="计算式" sheetId="16" state="hidden" r:id="rId7"/>
  </sheets>
  <definedNames>
    <definedName name="_xlnm.Print_Titles" localSheetId="0">主体!$1:$5</definedName>
    <definedName name="_xlnm.Print_Area" localSheetId="0">主体!$A$1:$AG$55</definedName>
    <definedName name="_xlnm.Print_Titles" localSheetId="1">室外工程及消防工程!$1:$4</definedName>
    <definedName name="_xlnm.Print_Area" localSheetId="1">室外工程及消防工程!$A$1:$J$12</definedName>
    <definedName name="_xlnm.Print_Titles" localSheetId="2">电气及给排水、暖通专业分包工程!$1:$4</definedName>
    <definedName name="_xlnm.Print_Area" localSheetId="2">电气及给排水、暖通专业分包工程!$A$1:$J$12</definedName>
    <definedName name="_xlnm.Print_Titles" localSheetId="3">机电安装专业分包工程!$1:$4</definedName>
    <definedName name="_xlnm.Print_Area" localSheetId="3">机电安装专业分包工程!$A$1:$L$11</definedName>
    <definedName name="_xlnm.Print_Titles" localSheetId="5">高压电缆进线工程!$1:$4</definedName>
    <definedName name="_xlnm.Print_Area" localSheetId="5">高压电缆进线工程!$A$1:$J$12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<sst xmlns="http://schemas.openxmlformats.org/spreadsheetml/2006/main" count="349" uniqueCount="200">
  <si>
    <t>劳务分包工程招标控制价审批表</t>
  </si>
  <si>
    <t>项目名称：金琴健康港项目-3#~6#高层厂房主体劳务分包工程</t>
  </si>
  <si>
    <t>序号</t>
  </si>
  <si>
    <t>项目名称</t>
  </si>
  <si>
    <t>工作内容及价格说明</t>
  </si>
  <si>
    <t>工程计算规则</t>
  </si>
  <si>
    <t>单位</t>
  </si>
  <si>
    <t>暂定
工程量</t>
  </si>
  <si>
    <t>广东吴川建筑安装工程有限公司</t>
  </si>
  <si>
    <t>安联绿创（珠海）智能科技有限公司</t>
  </si>
  <si>
    <t>珠海志达伟业建筑工程有限公司</t>
  </si>
  <si>
    <t xml:space="preserve">广东三穗建筑工程有限公司      </t>
  </si>
  <si>
    <t xml:space="preserve">广东恒建源工程有限公司 </t>
  </si>
  <si>
    <t>广东确跃建设工程有限公司</t>
  </si>
  <si>
    <t>珠海市建川建筑工程劳务分包有限公司</t>
  </si>
  <si>
    <t>广东安信建设有限公司</t>
  </si>
  <si>
    <t>中山市昊迪建筑劳务有限公司</t>
  </si>
  <si>
    <t>中山市瑞丰建筑工程劳务分包有限公司</t>
  </si>
  <si>
    <t>分包价</t>
  </si>
  <si>
    <t>对甲预计收入（分包水平）</t>
  </si>
  <si>
    <t>招标控制价</t>
  </si>
  <si>
    <t>黄明华 15989867928</t>
  </si>
  <si>
    <t>周小刚 15072352983</t>
  </si>
  <si>
    <t>欧伟明 13631230163</t>
  </si>
  <si>
    <t xml:space="preserve">李淼侠13750068883    </t>
  </si>
  <si>
    <t>周春茂
13544944221</t>
  </si>
  <si>
    <t>吴树强 13570682111</t>
  </si>
  <si>
    <t>张仕富 13702575368</t>
  </si>
  <si>
    <t>聂总 13500247298</t>
  </si>
  <si>
    <t>涂小华 1392813168</t>
  </si>
  <si>
    <t>谢礼平 13322907998</t>
  </si>
  <si>
    <t>不含钢筋、混凝土、钢板、水电，</t>
  </si>
  <si>
    <t>不含税单价
（元）</t>
  </si>
  <si>
    <t>不含税合价
（元）</t>
  </si>
  <si>
    <t>不含税单价
（元）下浮前</t>
  </si>
  <si>
    <t>备注</t>
  </si>
  <si>
    <t>一</t>
  </si>
  <si>
    <t>砌筑、抹灰及模板工程</t>
  </si>
  <si>
    <t>砌筑抹灰工程</t>
  </si>
  <si>
    <t>基础砖砌及砖胎膜</t>
  </si>
  <si>
    <t>1、砌砖种类：MU20灰砂砖/水泥砖；
2、采用M7.5水泥砂浆砌筑；
3、具体详图纸要求做法；
4、除塔吊外，综合单价含垂直及水平运输机械费用。</t>
  </si>
  <si>
    <t>1、按实际砌筑工程量以体积计算</t>
  </si>
  <si>
    <t>m3</t>
  </si>
  <si>
    <t>1、砌砖种类：蒸压加气混凝土砌块(强度不低于5Mpa)；
2、采用M7.5水泥砂浆砌筑；
3、具体详图纸要求做法；
4、除塔吊外，综合单价含垂直及水平运输机械费用。</t>
  </si>
  <si>
    <t>砖胎模抹灰</t>
  </si>
  <si>
    <t>1、砖胎模抹灰砂浆抹灰；
2、抹灰厚度、砂浆配合比按图纸要求；
3、具体详图纸要求做法；
4、除塔吊外，综合单价含垂直及水平运输机械费用。</t>
  </si>
  <si>
    <t>1、按实际砖胎模抹灰面积计算</t>
  </si>
  <si>
    <t>m2</t>
  </si>
  <si>
    <t>模板工程</t>
  </si>
  <si>
    <t>±0.00以下基础模板工程（无地下室）</t>
  </si>
  <si>
    <r>
      <rPr>
        <sz val="9"/>
        <color rgb="FF000000"/>
        <rFont val="宋体"/>
        <charset val="134"/>
      </rPr>
      <t>1、完成承包范围内图示所有梁板柱剪力墙等主体结构、设计与主体结构一起浇捣的反边反梁、设备基础的模板制作安装、拆除工作（含止水螺杆的打凿及切割、除锈、起钉、清理、按甲方要求分类堆放好，做到工完场清）；
3、承包方式：完成上述模板工程所需的所有人工、模板、木方、模板支撑体系、辅材（止水螺杆、对拉螺杆</t>
    </r>
    <r>
      <rPr>
        <sz val="9"/>
        <color rgb="FFFF0000"/>
        <rFont val="宋体"/>
        <charset val="134"/>
      </rPr>
      <t>(带止水片)</t>
    </r>
    <r>
      <rPr>
        <sz val="9"/>
        <color rgb="FF000000"/>
        <rFont val="宋体"/>
        <charset val="134"/>
      </rPr>
      <t>、铁钉、铁线、步步紧、脱模剂等材料、所有孔洞的预留预埋及穿墙套管等材料费）、</t>
    </r>
    <r>
      <rPr>
        <sz val="9"/>
        <color rgb="FFFF0000"/>
        <rFont val="宋体"/>
        <charset val="134"/>
      </rPr>
      <t>止水条(板)制作安装、对拉螺栓眼处附加防水、对拉螺栓外露部分刷防锈漆、堵洞及堵洞所需材料费</t>
    </r>
    <r>
      <rPr>
        <sz val="9"/>
        <color rgb="FF000000"/>
        <rFont val="宋体"/>
        <charset val="134"/>
      </rPr>
      <t>及机具（除垂直运输机械以外的所有机具，含场地运输机具）；
4、本单价已考虑地下室梁板模板拆模后须达到免抹灰要求，如未达到需打磨的则扣减打磨费(打磨费则按打磨面积扣减6元/m2）,如需移交精装修单位装修的需达到甲方移交要求；
5、本单价已综合考虑层高及材料二次转运费，施工方案及高支模专家论证方案模板安拆施工难度等；
6、单价含结构预留吊洞、传料口、泵管洞、放线洞口等主体结构预留施工措施洞口封堵；
7</t>
    </r>
    <r>
      <rPr>
        <sz val="9"/>
        <color rgb="FFFF0000"/>
        <rFont val="宋体"/>
        <charset val="134"/>
      </rPr>
      <t>、关于±0.00以上、以下的划分说明：有地下室的按地下室顶板面标高划分，若没有地下室的按室内地坪标高划分，有隔层的算入地下室。
8、如中途退场，模板未拆除部分则按展开面积12元/m2扣除；如已搭设架体未装模板，则不计算。</t>
    </r>
  </si>
  <si>
    <t>1、按混凝土与模板的接触面积计算。小于0.3（不含0.3）m2的洞口不扣除，洞口侧边也不增加工程量；
2、垫层模板及后浇带模板的二次制作及安拆不另计算。</t>
  </si>
  <si>
    <t>㎡</t>
  </si>
  <si>
    <t>±0.00以上模板制安（层高≤5米）
（含架体搭拆）</t>
  </si>
  <si>
    <t>±0.00以上模板制安（5米＜层高≤7米）
（不含架体搭拆）</t>
  </si>
  <si>
    <t>±0.00以上模板制安（7米＜层高≤9米）
（不含架体搭拆）</t>
  </si>
  <si>
    <t>±0.00以上模板制安（9米＜层高≤11米）
（不含架体搭拆）</t>
  </si>
  <si>
    <t>搭拆高支模架（盘扣式）</t>
  </si>
  <si>
    <t>搭拆高支模架（5米＜高度≤7米）</t>
  </si>
  <si>
    <t>1、含上、下托，盘扣钢管架支撑体系等搭拆
2、承包方式为包整个模板支撑体系全费用综合单价承包模式；
3、综合单价包括搭拆人工、材料租赁费、损耗、材料进出场运输费、材料检测试验费、装卸费、保管、损失风险、材料分类堆码、场地清理、文明施工费、管理费、利润、措施费、规费、税金等全部费用
4、综合单价综合考虑层高、材料二次转运费、工期、施工方案及高支模专家论证方案支模架搭拆施工难度等。</t>
  </si>
  <si>
    <t>1、按实际架体搭拆高度乘以架体服务模板水平投影面积以体积计算。</t>
  </si>
  <si>
    <t>搭拆高支模架（7米＜高度≤9米）</t>
  </si>
  <si>
    <t>搭拆高支模架（9米＜高度≤11米）</t>
  </si>
  <si>
    <t>搭拆高支模架（钢管式）</t>
  </si>
  <si>
    <t>1、含上、下托，钢管架体支撑体系（含扣件）等搭拆；
2、承包方式为包整个模板支撑体系全费用综合单价承包模式；
3、综合单价包括搭拆人工、材料租赁费、损耗、材料进出场运输费、材料检测试验费、装卸费、保管、损失风险、材料分类堆码、场地清理、文明施工费、管理费、利润、措施费、规费、税金等全部费用
4、综合单价综合考虑层高、材料二次转运费、工期、施工方案及高支模专家论证方案支模架搭拆施工难度等。</t>
  </si>
  <si>
    <t>不含税小计</t>
  </si>
  <si>
    <t>税率</t>
  </si>
  <si>
    <t>含税小计</t>
  </si>
  <si>
    <t>二</t>
  </si>
  <si>
    <t>钢筋、混凝土工程</t>
  </si>
  <si>
    <t>钢筋工程</t>
  </si>
  <si>
    <t>±0.00以下钢筋工程（含基础）</t>
  </si>
  <si>
    <r>
      <rPr>
        <sz val="9"/>
        <color rgb="FF000000"/>
        <rFont val="宋体"/>
        <charset val="134"/>
      </rPr>
      <t>1、工程量计算规则以设计图纸按2013国标清单计算规则以吨计算（不考虑损耗率）；
2、本单价包括但不限于所有梁板柱剪力墙等主体结构、设计与主体结构一同的反边反梁的制作安装、二次构件制作(如未制作二次构件钢筋，</t>
    </r>
    <r>
      <rPr>
        <sz val="9"/>
        <color rgb="FFFF0000"/>
        <rFont val="宋体"/>
        <charset val="134"/>
      </rPr>
      <t>按建筑面积以1.5元/m2扣减</t>
    </r>
    <r>
      <rPr>
        <sz val="9"/>
        <color rgb="FF000000"/>
        <rFont val="宋体"/>
        <charset val="134"/>
      </rPr>
      <t>）、墙体拉结筋开料、预埋钢筋制作（外架（工字钢的U型箍及钢丝绳拉环）、塔吊、人货梯、井架、悬挑槽钢等需要预埋的钢筋）、钢筋垫块（成品预制垫块）、扎线（全部满扎）、电焊、配合甲方钢筋加工区的多次转移（机械甲供）、配合机电预埋加强筋及防开裂增设钢筋网片制安、拦截不同标号混凝土的快易收口网制安（含快易收口网材料费）、检测用的钢筋下料及套筒连接含钢筋切平头（不平需打磨）、其它辅材及全部钢筋机具费用；
3、单价中制作按35%，绑扎65%计算；钢筋必须满扎，否则按20元/吨扣减；
4、单价含结构预留吊洞、传料口、泵管洞、放线洞口等主体结构预留施工措施洞口封堵；
5</t>
    </r>
    <r>
      <rPr>
        <sz val="9"/>
        <color rgb="FFFF0000"/>
        <rFont val="宋体"/>
        <charset val="134"/>
      </rPr>
      <t>、关于±0.00以上、以下的划分说明：有地下室的按地下室顶板面标高划分，若没有地下室的按室内地坪标高划分,有隔层的算入地下室。</t>
    </r>
  </si>
  <si>
    <t>1、工程量以设计图纸按2013国标清单计算规则以吨计算（不考虑损耗率）
2、以一次结构计算工程量，二次结构开料不计算工程量</t>
  </si>
  <si>
    <t>T</t>
  </si>
  <si>
    <t>±0.00以上钢筋工程</t>
  </si>
  <si>
    <t>1、工程量以设计图纸按2013国标清单计算规则以吨计算（不考虑损耗率）
2、2、以一次结构计算工程量，二次结构开料不计算工程量</t>
  </si>
  <si>
    <t>Φ25及以下直螺纹套筒连接（包套筒、包车丝、包安装）</t>
  </si>
  <si>
    <t>单价含接头材料及送检取样等</t>
  </si>
  <si>
    <t>按实际施工接头以个数计算</t>
  </si>
  <si>
    <t>个</t>
  </si>
  <si>
    <t>Φ25以上直螺纹套筒连接（包套筒、包车丝、包安装）</t>
  </si>
  <si>
    <t>电渣压力焊（包工包机械、包焊剂）</t>
  </si>
  <si>
    <t>桩头插筋制安（含焊钢板）</t>
  </si>
  <si>
    <t>含焊条材料等辅材、制安人工、机械切割、加工等机具使用费等</t>
  </si>
  <si>
    <t>按实际完成的工程量以吨计算</t>
  </si>
  <si>
    <t>后浇带止水钢板制安(含快易收口网绑扎）</t>
  </si>
  <si>
    <t>含快易收口网材料、焊条材料等辅材、安装人工、机械切割、加工等机具使用费等</t>
  </si>
  <si>
    <t>按实际安装止水钢板延长米计算</t>
  </si>
  <si>
    <t>m</t>
  </si>
  <si>
    <t>止水橡胶（带）制安</t>
  </si>
  <si>
    <t>含安装人工、辅材、小型机具使用费等</t>
  </si>
  <si>
    <t>按制安止水橡胶（带）延长米计算</t>
  </si>
  <si>
    <t>混凝土工程</t>
  </si>
  <si>
    <t>±0.00以下混凝土工程（含基础）</t>
  </si>
  <si>
    <r>
      <rPr>
        <sz val="9"/>
        <color rgb="FFFF0000"/>
        <rFont val="宋体"/>
        <charset val="134"/>
      </rPr>
      <t>1、完成承包范围内图示所有除二次构件外的砼搅拌和浇筑，含穿楼板套管的预留预埋、混凝土泵送管的安拆、混凝土料车的卸料；
2、该单价包括运料、基层清理整平、砼浇筑、砼振捣、养护（含塑料薄膜）、找平、场地清理、沉箱结构试水、后浇带打凿及清理等全部工作；如果混凝土浇筑没有使用平板振动器及覆盖薄膜，则按建筑面积以1元/m2扣减；</t>
    </r>
    <r>
      <rPr>
        <sz val="9"/>
        <color rgb="FF000000"/>
        <rFont val="宋体"/>
        <charset val="134"/>
      </rPr>
      <t xml:space="preserve">
3、综合单价包含已含输送管道及配件的场内转运、堆码、安拆、加固、清理、清洗、维护，布料机的安拆及配合维修更换配件组装，每项、每层段工序砼浇捣所需临时操作平台和通道的搭设，浇捣前杂物清理，模板湿润，堵柱角、墙角、梁窝的清理，后浇带砼浇筑前剔除浮浆及露出石子和接浆处理，混凝土初凝前磨光机二次收面，施工缝处理，</t>
    </r>
    <r>
      <rPr>
        <sz val="9"/>
        <rFont val="宋体"/>
        <charset val="134"/>
      </rPr>
      <t>配合制作砼试件及场地运输</t>
    </r>
    <r>
      <rPr>
        <sz val="9"/>
        <color rgb="FF000000"/>
        <rFont val="宋体"/>
        <charset val="134"/>
      </rPr>
      <t>，拆模后的清理、清洗、凿毛、打磨、处理混凝土结构混凝土质量缺陷等一切混凝土浇捣工序，不再另行计算费用。</t>
    </r>
    <r>
      <rPr>
        <sz val="9"/>
        <color rgb="FFFF0000"/>
        <rFont val="宋体"/>
        <charset val="134"/>
      </rPr>
      <t xml:space="preserve">
4、单价包含地下室挡土墙脚一次结构成型的圆弧R护角；
5、单价包含洗泵管所需的引流导管的安装、拆除；</t>
    </r>
    <r>
      <rPr>
        <sz val="9"/>
        <color rgb="FF000000"/>
        <rFont val="宋体"/>
        <charset val="134"/>
      </rPr>
      <t xml:space="preserve">
6、含底板、承台等砼浇捣前的抽水（抽水设备甲供）、清理及清洗；
7、单价包含但不限于以下机械及辅材：振动、平板振动器、养护用所有辅材；
8、单价含结构预留吊洞、传料口、泵管洞、放线洞口等主体结构预留施工措施洞口封堵；
9、关于±0.00以上、以下的划分说明：有地下室的按地下室顶板面标高划分，若没有地下室的按室内地坪标高划分，有隔层的算入地下室。</t>
    </r>
  </si>
  <si>
    <t>1、按图示体积计算。</t>
  </si>
  <si>
    <t>±0.00以上混凝土混凝土工程</t>
  </si>
  <si>
    <t>±0.00以下基础砼垫层</t>
  </si>
  <si>
    <t>1、清理基层、平整基底、铺砼、抹平、压实、压光、按要求设置分隔缝等；
2、综合考虑图示要求垫层厚度。
3、如因部分场地原因无法使用机械运料，单价已综合考虑该部分人工或人机配合场内运输。</t>
  </si>
  <si>
    <t>按图示尺寸以实铺面积计算</t>
  </si>
  <si>
    <t>预制混凝土管桩桩顶封砼</t>
  </si>
  <si>
    <t>1、包括综合人工、机械、人机配合运料，预制混凝土管桩桩心的清孔，浇捣桩心砼，砼振捣，养护，场地清理等；
2、含但不限于以下机械及辅材：振动，养护用所有辅材等。</t>
  </si>
  <si>
    <t>按图示尺寸以实际浇筑体积计算</t>
  </si>
  <si>
    <t>三</t>
  </si>
  <si>
    <t>安全文明施工措施费</t>
  </si>
  <si>
    <t>安全文明施工措施费
（主体结构阶段）</t>
  </si>
  <si>
    <r>
      <rPr>
        <sz val="9"/>
        <color rgb="FF000000"/>
        <rFont val="宋体"/>
        <charset val="134"/>
      </rPr>
      <t>一、安全文明施工费包括但不限于：</t>
    </r>
    <r>
      <rPr>
        <sz val="9"/>
        <color rgb="FFFF0000"/>
        <rFont val="宋体"/>
        <charset val="134"/>
      </rPr>
      <t xml:space="preserve">
1、捣试件用工、拆除地泵台及设备基础，建筑垃圾运至甲方指定地点等；</t>
    </r>
    <r>
      <rPr>
        <sz val="9"/>
        <color rgb="FF000000"/>
        <rFont val="宋体"/>
        <charset val="134"/>
      </rPr>
      <t xml:space="preserve">
2、协助电工拉设电线、清理、保洁、维护、保养费用，负责二级箱以后电缆及电箱的费用及维护；
3、施工过程中的施工道路、施工场地的清理、清洁，例如：拆模板后第一次清理场地，过水泥砂浆前清理地面，基坑、沟槽的整理，垫层面和基础面的清理；
4、安全网维护（即修理及恢复劳务破坏的安全网）；
5、清理排栅施工平桥、排栅脚、吊笼底、吊笼棚等；
6、清理、安拆砂浆机(抹灰和砌砖单价已包含该项内容，现场管理人员应督促其完成)；
7、砌筑及拆除砼存放池、废料池、外架排水沟（含日常使用过程中清理保持通畅）、钢筋堆放场基础等，建筑垃圾运至甲方指定地点；
8、加工棚、材料堆放区、钢筋棚及门前路至楼栋入口等的场地硬化及使用后破拆除，建筑垃圾运至甲方指定地点；
9、清理工地仓库、砼存放池、废料池；
10、清理材料、杂物、垃圾、项目内的防扬尘洒水、覆盖等；
11、安全检查前、验收前及验收后砌体及粗装饰进场前的场地清理；
12、</t>
    </r>
    <r>
      <rPr>
        <sz val="9"/>
        <color rgb="FFFF0000"/>
        <rFont val="宋体"/>
        <charset val="134"/>
      </rPr>
      <t>整理铁场碎旧钢筋及调直、木工加工场清理等</t>
    </r>
    <r>
      <rPr>
        <sz val="9"/>
        <color rgb="FF000000"/>
        <rFont val="宋体"/>
        <charset val="134"/>
      </rPr>
      <t>；
13、</t>
    </r>
    <r>
      <rPr>
        <sz val="9"/>
        <color rgb="FFFF0000"/>
        <rFont val="宋体"/>
        <charset val="134"/>
      </rPr>
      <t>排栅脚铺石粉或浇筑砼垫层</t>
    </r>
    <r>
      <rPr>
        <sz val="9"/>
        <color rgb="FF000000"/>
        <rFont val="宋体"/>
        <charset val="134"/>
      </rPr>
      <t>；
14、含施工区内的CI的悬挂、维护（外架单位负责架体上面CI悬挂，其它部位CI由劳务负责悬挂）；
16、</t>
    </r>
    <r>
      <rPr>
        <sz val="9"/>
        <color rgb="FFFF0000"/>
        <rFont val="宋体"/>
        <charset val="134"/>
      </rPr>
      <t>临口临边</t>
    </r>
    <r>
      <rPr>
        <sz val="9"/>
        <color rgb="FF000000"/>
        <rFont val="宋体"/>
        <charset val="134"/>
      </rPr>
      <t>(包括但不限于楼梯边（钢筋或排栅管护栏）、结构电梯井口水平防护、预留洞口、通道口、楼层周边、楼梯侧边、平台或阳台边、屋面周边)防护含油漆、结构电梯门等洞口防护含油漆（如不做临口临边及油漆按按洞口面积25元/m2扣减（其中油漆3.5元/m2），不安拆制作电梯等洞口防护门按50元/张扣减）、短边尺寸&lt;1500mm洞口防护（采用φ6@150mm单层双向钢筋作为防护网,网格间距≤200mm，在混凝土浇筑前预设于模板内，如需悬挂安全网，需进行安全网悬挂（甲方提供材料，乙方负责安装））；
17、</t>
    </r>
    <r>
      <rPr>
        <sz val="9"/>
        <color rgb="FFFF0000"/>
        <rFont val="宋体"/>
        <charset val="134"/>
      </rPr>
      <t>材料物品的中转搬运</t>
    </r>
    <r>
      <rPr>
        <sz val="9"/>
        <color rgb="FF000000"/>
        <rFont val="宋体"/>
        <charset val="134"/>
      </rPr>
      <t xml:space="preserve">（项目场地内）、清理、分类堆放、隔离、垫、盖保护、标识、消防器材等；
18、室内挡脚板制作安拆及扫油漆；
19、现场、基础抽排水、清疏场地积水等所有符合安全文明施工定义的全部工作；
20、配合工程验收、检查、检测用工；
21、后浇筑带洞口防护：后浇带上用模板全封闭隔离，两侧设砂浆挡水坎,挡水坎应平直美观，板面刷警示；
22、成品保护，不限于墙柱阳角、楼梯阳角、地面水电甩头套圈保护、混凝土浇筑完成后的成品保护等。
成品保护等。
</t>
    </r>
    <r>
      <rPr>
        <sz val="9"/>
        <color theme="4" tint="-0.25"/>
        <rFont val="宋体"/>
        <charset val="134"/>
      </rPr>
      <t>23、主楼内外防护由乙方施工。如采用非定型化搭设，则由乙方提供材料及制作、安装、维护及拆除；如甲方要求采用定型化材料，则由第三方单位提供定型化材料及安装的指导，乙方负责安装、维护、拆除及定型化以外的材料（如钢管材料等），费用不另计取。</t>
    </r>
  </si>
  <si>
    <t>（主体结构部分劳务直接费）*费率；</t>
  </si>
  <si>
    <t>项</t>
  </si>
  <si>
    <t>四</t>
  </si>
  <si>
    <t>一+二+三合计（含税）</t>
  </si>
  <si>
    <t>说明：
1、序号（一~四）承包模式为全费用综合单价承包模式，全费用综合包干单价包含人工费（含涨价风险）、材料费（含涨价风险）、周转材租赁费、损耗、运输费辅材费（铁钉、保温钉、云石胶、植筋胶、扎线、胶篾等其他零星辅材）、保管、损失风险、损耗、工器具使用费、材料卸车费、二次运输费、材料进出场、吊笼维护费、管理费、利润、保险费及其他项目费；
2、序号（五~六）承包模式为劳务清包模式，单价包含人工费（含涨价风险）、辅材费（铁钉、保温钉、云石胶、植筋胶、扎线、胶篾等其他零星辅材）、工器具使用费、材料卸车费、二次运输费、吊笼维护费、管理费、利润、保险费及其他项目费；
3、序号七为本工程安全文明施工措施费，承包模式按固定费率包干方式，固定包干费率包含人工费（含涨价风险）、材料费（本清单项材料费指除了共公部分外消防器材（按甲方施工文明施工需求提供）、防护用模板、油漆、洞口防护安全网）、辅材费（铁钉、保温钉、云石胶、植筋胶、扎线、胶篾等其他零星辅材）、工器具使用费、材料卸车费、二次运输费、吊笼维护费、管理费、利润、保险费及其他项目费等完成本工程所需的安全文明施工内容；
4、乙方负责工器具主要包括但不限于斗车、小型拖拉机、水管、扫把、灰斗、铲、镐、风镐、介机、介片、冲击钻、锯机、楼面磨浆机、凿、锤、锹、振笔、振板、砂浆机、钢筋切断机、钢筋弯曲机、电焊机、砼播料机及其它小型施工机具用具等完成本工程所需的所有工器具，费用包含在综合单价内；
5、墙柱模板需采用黑模板，木方需采用5cm*10cm截面尺寸的材料；
6、乙方施工场地必须做到工完场清，所有用砂工程均含筛砂工序工艺；
6、本工程项目安全文明施工要求确保市安全生产文明施工样板工地；
7、本工程项目质量要求争创省优质工程，确保市优质工程；
8、工人生活区板房按200元每间每月交纳住宿费，铁架床及空调由乙方负责，每间住宿人数不低于6人，户内电费挂表按实计取，水费及公共区电费按15元/人/月标准计取，卫生费及宿舍区保安费用按30元/人/月标准计取，费用在当月进度款中扣除；
9、乙方必须配合甲方现场管理人员现场管理及安全文明施工，且必须配备专职现场管理人员、专职安全管理人员、专职劳资管理人员，不允许兼职方式；
10、乙方需根据甲方要求自行安排塔吊指挥人员，费用已包含在综合单价中，甲方不另行安排；
11、乙方必须按投标期工料机投入计划表进行生产资源的投入；
12、涉及方案专家论证的，费用由乙方负责；
13、本工程的安责险、工伤保险及工程一切险，由甲方代缴，在乙方进度款中转扣；
14、本工程工期约112天：开工日期为 2022 年 7 月 11 日，具体以甲方书面通知为准；完工日期为 2022 年 10 月 31 日，实际完工工期按招标人及发包人的进度要求执行。
15、如发生合同以外签证工程，合同有类似单价的，参照合同单价执行；合同无类似单价的，按照定额下浮25%计取。
16、本工程施工中不因任何因素调整单价
17、本工程已包含2%安全文明施工费，进度款申报时，乙方需提供金额对等的安全文明施工费发票，否则不予支付进度款</t>
  </si>
  <si>
    <t>部门意见：</t>
  </si>
  <si>
    <t>分管领导意见：</t>
  </si>
  <si>
    <t>室外工程及消防安装专业分包工程-控制价审批表</t>
  </si>
  <si>
    <t>项目名称：珠海隧道工程应急救援管理中心和绿化标-室外工程及消防专业分包工程</t>
  </si>
  <si>
    <t>工作内容及说明</t>
  </si>
  <si>
    <t>工程数量</t>
  </si>
  <si>
    <t>暂定总承包室外工程及消防专业分包工程不含税总造价</t>
  </si>
  <si>
    <t>控制价</t>
  </si>
  <si>
    <t>总包中标基础上的下浮百分率（%）</t>
  </si>
  <si>
    <t>室外工程、消防工程（包含室内消火栓系统、室外消火栓系统、火灾自动报警系统、电气火灾监控系统、道路工程、围墙工程、海绵设施、其他工程）安装专业分包工程</t>
  </si>
  <si>
    <t>1、珠海隧道工程应急救援管理中心和绿化标室外工程及消防（包含室内消火栓系统、室外消火栓系统、火灾自动报警系统、电气火灾监控系统、道路工程、围墙工程、海绵设施、其他工程）专业分包工程造价计算约定详见《珠海隧道工程应急救援管理中心和绿化标施工合同》，本工程建筑面积约2391.6平方米。结算按甲方与建设单位签订的《珠海隧道工程应急救援管理中心和绿化标施工合同》（即甲方与建设单位签订的总包合同，作为结算的附件）相关条款执行，结算由乙方以甲方的名义与建设方进行办理（包括但不限于办理对数、材料比价、材料价格的调整、工程变更、款项核对、合同结算等所有工作内容）。
2、按照甲方与建设单位确认的结算价并按照甲乙双方约定下浮率下浮后，扣除代付款及其他应扣除的费用后支付乙方，由乙方自负盈亏。
3、乙方的结算金额综合考虑了施工期间人工、材料、机械及小型机具以及甲方可提供的现有垂直运输设备等因素，其中施工现场水电费由乙方自行承担，乙方需做到工完场清，乙方施工所造成的建筑垃圾由乙方堆放到甲方指定地点，若由甲方代为处理费用从乙方应收进度款和结算款中全额扣除。
4、政府部门规定的与乙方承包范围相关的规费及税费，由乙方自行全部承担。
5、在乙方每次申请工程款时，扣除相关的规费及税费及其它代付款等乙方应承担费用，从乙方应收工程款中扣除；支付比例达95%时，全额收取乙方应承担费用
6、工程款支付：（1）工程款由乙方自行根据《珠海隧道工程应急救援管理中心和绿化标施工合同》的约定，以甲方的名义向建设单位申报及协助甲方收取。流程为：乙方按《珠海隧道工程应急救援管理中心和绿化标施工合同》要求上报经建设单位确认的当月或节点完成工程量→甲方初步审核→建设单位审核→建设单位支付甲方款项→乙方向甲方申请款项→甲方按照甲乙双方约定下浮率下浮后，扣除代付款和其他应扣除的费用后支付乙方工程款。如建设单位延期支付工程款，甲方支付给乙方的工程款作相应延期，以实际收到款项为准。若未收到建设单位款项，需要甲方先支付的（含应扣未扣材料费及其他费用），甲方垫付的款项需按甲方公司规定的贷款利息（付款前由双方确认）计提利息后在乙方工程进度款中扣回；（2）乙方申报完成工程量时，须有建设单位确认的工程进度证明。进度款如出现超付时，超付部分在下期付款时扣回或乙方在甲方承接的其他项目款项中扣除，乙方不得有异议；如不足甲方有权通过法律程序追诉；（3）乙方向甲方收取工程款时须按本合同业务提供合法有效的增值税发票（乙方需提供增值税专用发票，税率为9%），双方遵循先开票后付款；（4）工程竣工后，甲乙双方按上述条款有关约定，办理完结算手续，建设单位将结算款拨付给甲方后，由甲方及时按照约定拨付乙方，并按《珠海隧道工程应急救援管理中心和绿化标施工合同》约定扣留质量保证金，缺陷责任期间的甲方承担的义务及费用均由乙方完成，工程尾款及质保金的回收责任由乙方负责，甲方协助办理。
7、甲方负责指导、监督、检查乙方按《珠海隧道工程应急救援管理中心和绿化标施工合同》要求完成工程进度、质量、安全文明施工等目标。甲方有权按照内部的管理制度对乙方施工作业进行定期或不定期的进度、质量、安全、文明施工、劳资等方面的检查并进行评定，根据评定结果进行处罚；对乙方达不到《珠海隧道工程应急救援管理中心和绿化标施工合同》约定或建设单位要求，甲方在第二次警告后仍无改进，甲方有权自行安排人员整改，其费用由乙方负责，乙方不得有异议。
8、工期、质量、安全方面，乙方应保证工程按照《珠海隧道工程应急救援管理中心和绿化标施工合同》如期完成，认真执行施工安全法规和标准、施工验收规范、质量评定标准。
9、因乙方原因发生工期延误、质量和安全事故，所造成的经济损失和法律责任由乙方自行负责
10、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11、安责险、工伤保险及工程一切险由甲方统一购买，由甲方代缴，在乙方进度款中转扣。每期按乙方当期验工计价金额*相应保险费率计算扣款金额。
12、在施工中乙方必须严格执行甲方及建设单位有关文明施工及CI覆盖的要求和规定，现场文明施工，保证企业形象。乙方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珠海隧道工程应急救援管理中心和绿化标施工合同》的要求执行，负责向建设单位办理本工程的竣工结算，该结算由乙方以甲方名义并按甲方及建设方有关管理程序办理，甲方负责指导和协助。
14、材料与设备供应：（1）材料品牌严格按珠海隧道工程应急救援管理中心和绿化标施工招标文件中约定的《拟参考品牌表（珠海隧道工程应急救援管理中心和绿化标项目）》约定的范围确认、下订单前需征求甲方的意见。（2）若乙方未按规定品牌材料购买导致被甲方及建设方扣罚的，则由乙方承担罚款及引起的一切责任，同时，甲方可在建设方罚款的基础上，另对乙方追加 50%的处罚。（3）乙方自行采购（租赁）的材料及设备必须选用合格产品，并按规定以甲方名义向质监部门送检及备案，所有报告原件必须报甲方备案；严禁无产品合格证和无质量验收手续的材料及备案不合格的设备使用于工程项目。
15、乙方需根据甲方要求及施工方案、技术要求执行；乙方充分了解项目现场情况，根据甲方要求完成户内、户外临水临电安装（含多次迁改），乙方报价需考虑所有主材、辅材等费用，包括且不限于：户内、户外的临水临电、临时照明、临时消防安拆等一切完成该项工作内容，费用综合考虑。
16、其余未尽事宜详见总包合同。</t>
  </si>
  <si>
    <t>按《珠海隧道工程应急救援管理中心和绿化标施工合同》室外工程及消防专业分包工程最终结算总金额=《珠海隧道工程应急救援管理中心和绿化标施工合同》对应施工内容结算总造价*（1-总包中标基础上的下浮百分率）</t>
  </si>
  <si>
    <t>元</t>
  </si>
  <si>
    <r>
      <rPr>
        <b/>
        <sz val="10"/>
        <rFont val="宋体"/>
        <charset val="134"/>
        <scheme val="minor"/>
      </rPr>
      <t>备注：</t>
    </r>
    <r>
      <rPr>
        <sz val="10"/>
        <rFont val="宋体"/>
        <charset val="134"/>
        <scheme val="minor"/>
      </rPr>
      <t xml:space="preserve">
1、乙方施工场地必须做到工完场清；
2、本工程项目安全文明施工要求：应按照建设单位及珠海市政府相关部门规定做好文明施工，施工现场符合《珠海市扬尘污染防治管理办法》的规定，并按有关规定做好围蔽工作；
3、本工程项目质量要求：配合主体争创国家优质工程奖。综合单价已包含所有费用；
4、工人生活区板房按200元每间每月交纳住宿费，铁架床及空调由乙方负责，每间住宿人数不低于6人，户内电费挂表按实计取，水费及公共区电费按15元/人/月标准计取，卫生费及宿舍区保安费用按30元/人/月标准计取，费用在当月进度款中扣除；
5、乙方必须配合甲方现场管理人员现场管理及安全文明施工，且必须配备专职现场管理人员、专职安全管理人员、专职劳资管理人员，管理人员数量配备须满足甲方需求，不允许兼职方式；
6、本工程已包含3%安全文明施工费（合同含税金额的3%），进度款申报时，乙方需提供金额对等的安全文明施工费发票，否则不予支付进度款。
7、履约保证金比例：合同金额的5%且不超80万，详细请见合同条款。
8、乙方需开具税率9%的增值税专用发票。
9、暂定总承包分部分项不含税总造价为项目整体的暂定金额，不作为结算依据；乙方须服从甲方分配的标段界面施工且综合考虑甲方划分的施工范围界面、量差、周转等一切风险因素，结算时总包中标基础上的下浮百分率不作调整。
</t>
    </r>
  </si>
  <si>
    <t>经办人：</t>
  </si>
  <si>
    <t>机电工程专业分包-控制价审批表</t>
  </si>
  <si>
    <t>项目名称：珠海隧道工程应急救援管理中心和绿化标-机电工程专业分包</t>
  </si>
  <si>
    <t>暂定总承包电气及给排水、暖通、高压电缆进线专业分包工程不含税总造价</t>
  </si>
  <si>
    <t>电气及给排水、暖通工程（包含电气工程（除电气火灾监控系统外）、室内外给排水、暖通工程）安装专业分包工程</t>
  </si>
  <si>
    <r>
      <rPr>
        <sz val="9"/>
        <rFont val="宋体"/>
        <charset val="134"/>
      </rPr>
      <t>1、珠海隧道工程应急救援管理中心和绿化标电气及给排水、暖通（包含电气工程（除电气火灾监控系统外）、室内外给排水、暖通工程）专业分包工程造价计算约定详见《珠海隧道工程应急救援管理中心和绿化标施工合同》，本工程建筑面积约2391.6平方米。结算按甲方与建设单位签订的《珠海隧道工程应急救援管理中心和绿化标施工合同》（即甲方与建设单位签订的总包合同，作为结算的附件）相关条款执行，结算由乙方以甲方的名义与建设方进行办理（包括但不限于办理对数、材料比价、材料价格的调整、工程变更、款项核对、合同结算等所有工作内容）。
2、按照甲方与建设单位确认的结算价并按照甲乙双方约定下浮率下浮后，扣除代付款及其他应扣除的费用后支付乙方，由乙方自负盈亏。
3、乙方的结算金额综合考虑了施工期间人工、材料、机械及小型机具以及甲方可提供的现有垂直运输设备等因素，其中施工现场水电费由乙方自行承担，乙方需做到工完场清，乙方施工所造成的建筑垃圾由乙方堆放到甲方指定地点，若由甲方代为处理费用从乙方应收进度款和结算款中全额扣除。
4、政府部门规定的与乙方承包范围相关的规费及税费，由乙方自行全部承担。
5、在乙方每次申请工程款时，扣除相关的规费及税费及其它代付款等乙方应承担费用，从乙方应收工程款中扣除；支付比例达95%时，全额收取乙方应承担费用
6、工程款支付：（1）工程款由乙方自行根据《珠海隧道工程应急救援管理中心和绿化标施工合同》的约定，以甲方的名义向建设单位申报及协助甲方收取。流程为：乙方按《珠海隧道工程应急救援管理中心和绿化标施工合同》要求上报经建设单位确认的当月或节点完成工程量→甲方初步审核→建设单位审核→建设单位支付甲方款项→乙方向甲方申请款项→甲方按照甲乙双方约定下浮率下浮后，扣除代付款和其他应扣除的费用后支付乙方工程款。如建设单位延期支付工程款，甲方支付给乙方的工程款作相应延期，以实际收到款项为准。若未收到建设单位款项，需要甲方先支付的（含应扣未扣材料费及其他费用），甲方垫付的款项需按甲方公司规定的贷款利息（付款前由双方确认）计提利息后在乙方工程进度款中扣回；（2）乙方申报完成工程量时，须有建设单位确认的工程进度证明。进度款如出现超付时，超付部分在下期付款时扣回或乙方在甲方承接的其他项目款项中扣除，乙方不得有异议；如不足甲方有权通过法律程序追诉；（3）乙方向甲方收取工程款时须按本合同业务提供合法有效的增值税发票（乙方需提供增值税专用发票，税率为9%），双方遵循先开票后付款；（4）工程竣工后，甲乙双方按上述条款有关约定，办理完结算手续，建设单位将结算款拨付给甲方后，由甲方及时按照约定拨付乙方，并按《珠海隧道工程应急救援管理中心和绿化标施工合同》约定扣留质量保证金，缺陷责任期间的甲方承担的义务及费用均由乙方完成，工程尾款及质保金的回收责任由乙方负责，甲方协助办理。
7、甲方负责指导、监督、检查乙方按《珠海隧道工程应急救援管理中心和绿化标施工合同》要求完成工程进度、质量、安全文明施工等目标。甲方有权按照内部的管理制度对乙方施工作业进行定期或不定期的进度、质量、安全、文明施工、劳资等方面的检查并进行评定，根据评定结果进行处罚；对乙方达不到《珠海隧道工程应急救援管理中心和绿化标施工合同》约定或建设单位要求，甲方在第二次警告后仍无改进，甲方有权自行安排人员整改，其费用由乙方负责，乙方不得有异议。
8、工期、质量、安全方面，乙方应保证工程按照《珠海隧道工程应急救援管理中心和绿化标施工合同》如期完成，认真执行施工安全法规和标准、施工验收规范、质量评定标准。
9、因乙方原因发生工期延误、质量和安全事故，所造成的经济损失和法律责任由乙方自行负责
10、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11、安责险、工伤保险及工程一切险由甲方统一购买，由甲方代缴，在乙方进度款中转扣。每期按乙方当期验工计价金额*相应保险费率计算扣款金额。
12、在施工中乙方必须严格执行甲方及建设单位有关文明施工及CI覆盖的要求和规定，现场文明施工，保证企业形象。乙方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珠海隧道工程应急救援管理中心和绿化标施工合同》的要求执行，负责向建设单位办理本工程的竣工结算，该结算由乙方以甲方名义并按甲方及建设方有关管理程序办理，甲方负责指导和协助。
14、材料与设备供应：（1）材料品牌严格按珠海隧道工程应急救援管理中心和绿化标施工招标文件中约定的《拟参考品牌表（珠海隧道工程应急救援管理中心和绿化标项目）》约定的范围确认、下订单前需征求甲方的意见。（2）若乙方未按规定品牌材料购买导致被甲方及建设方扣罚的，则由乙方承担罚款及引起的一切责任，同时，甲方可在建设方罚款的基础上，另对乙方追加 50%的处罚。（3）乙方自行采购（租赁）的材料及设备必须选用合格产品，并按规定以甲方名义向质监部门送检及备案，所有报告原件必须报甲方备案；严禁无产品合格证和无质量验收手续的材料及备案不合格的设备使用于工程项目。
15、乙方需根据甲方要求及施工方案、技术要求执行；乙方充分了解项目现场情况，根据甲方要求完成户内、户外临水临电安装（含多次迁改），乙方报价需考虑所有主材、辅材等费用，包括且不限于：户内、户外的临水临电、临时照明、临时消防安拆等一切完成该项工作内容，费用综合考虑。
16、</t>
    </r>
    <r>
      <rPr>
        <sz val="9"/>
        <color rgb="FFFF0000"/>
        <rFont val="宋体"/>
        <charset val="134"/>
      </rPr>
      <t>高压电缆进线工程目前属于暂估价部分，需乙方按建设单位及甲方要求由指定接驳点将线路接入甲方要求地点，</t>
    </r>
    <r>
      <rPr>
        <sz val="9"/>
        <color theme="4"/>
        <rFont val="宋体"/>
        <charset val="134"/>
      </rPr>
      <t>该项工作内容已包含并满足现场临时用电的要求，费用已综合考虑；</t>
    </r>
    <r>
      <rPr>
        <sz val="9"/>
        <color rgb="FFFF0000"/>
        <rFont val="宋体"/>
        <charset val="134"/>
      </rPr>
      <t>乙方报价需自行考虑包括完成</t>
    </r>
    <r>
      <rPr>
        <sz val="9"/>
        <color theme="4"/>
        <rFont val="宋体"/>
        <charset val="134"/>
      </rPr>
      <t>永久、临时用电</t>
    </r>
    <r>
      <rPr>
        <sz val="9"/>
        <color rgb="FFFF0000"/>
        <rFont val="宋体"/>
        <charset val="134"/>
      </rPr>
      <t>结合的深化高压进线电缆图纸，路径规划报批、过程施工、标识设置及全套试验报验等一切工作内容，并要求乙方确保通过当地供电部门审批验收，费用自行综合考虑。</t>
    </r>
    <r>
      <rPr>
        <sz val="9"/>
        <rFont val="宋体"/>
        <charset val="134"/>
      </rPr>
      <t xml:space="preserve">
17、其余未尽事宜详见总包合同。</t>
    </r>
  </si>
  <si>
    <t>按《珠海隧道工程应急救援管理中心和绿化标施工合同》电气、高压电缆进线及给排水、暖通专业分包工程最终结算总金额=《珠海隧道工程应急救援管理中心和绿化标施工合同》对应施工内容结算总造价*（1-总包中标基础上的下浮百分率）</t>
  </si>
  <si>
    <t>高压电缆进线工程</t>
  </si>
  <si>
    <t>专业暂估价</t>
  </si>
  <si>
    <t>专业分包工程</t>
  </si>
  <si>
    <t>项目名称：向阳村、四塘村党群服务站建设工程-消防专业分包</t>
  </si>
  <si>
    <t>《向阳村、四塘村党群服务站建设工程施工总承包合同》对应施工内容暂定不含税总造价(含绿措费、其他措施费及其他费等)</t>
  </si>
  <si>
    <t>投标上限价</t>
  </si>
  <si>
    <t>投标报价</t>
  </si>
  <si>
    <t>费率（%）</t>
  </si>
  <si>
    <t>直接费</t>
  </si>
  <si>
    <t>向阳村、四塘村党群服务站建设工程-消防工程（包含防火门、消防水、消防电以及消防标识等）专业分包工程</t>
  </si>
  <si>
    <r>
      <t>1、向阳村、四塘村党群服务站建设工程-消防工程（包含防火门、消防水、消防电以及消防标识等）专业分包工程造价计算约定详见《向阳村、四塘村党群服务站建设工程施工总承包施工合同》，本工程建筑面积约3594平方米。结算按采购人与建设单位签订的《向阳村、四塘村党群服务站建设工程施工总承包施工合同》（即采购人与建设单位签订的总包合同，作为结算的附件）相关条款执行，结算由成交人以采购人的名义与建设方进行办理（包括但不限于办理对数、材料比价、材料价格的调整、工程变更、款项核对、合同结算等所有工作内容）。
2、按照采购人与建设单位确认的结算价并按照甲乙双方约定下浮率下浮后，扣除代付款及其他应扣除的费用后支付成交人，由成交人自负盈亏。
3、成交人的结算金额综合考虑了施工期间人工、材料、机械及小型机具以及采购人可提供的现有垂直运输设备等因素，其中施工现场水电费由成交人自行承担，成交人需做到工完场清，成交人施工所造成的建筑垃圾由成交人堆放到采购人指定地点，若由采购人代为处理费用从成交人应收进度款和结算款中全额扣除。
4、政府部门规定的与成交人承包范围相关的规费及税费，由成交人自行全部承担。
5、在成交人每次申请工程款时，扣除相关的规费及税费及其它代付款等成交人应承担费用，从成交人应收工程款中扣除；支付比例达95%时，全额收取成交人应承担费用
6、工程款支付：（1）工程款由成交人自行根据《向阳村、四塘村党群服务站建设工程施工总承包施工合同》的约定，以采购人的名义向建设单位申报及协助采购人收取。流程为：成交人按《向阳村、四塘村党群服务站建设工程施工总承包施工合同》要求上报经建设单位确认的当月或节点完成工程量→采购人初步审核→建设单位审核→建设单位支付采购人款项→成交人向采购人申请款项→采购人按照甲乙双方约定下浮率下浮后，扣除代付款和其他应扣除的费用后支付成交人工程款。如建设单位延期支付工程款，采购人支付给成交人的工程款作相应延期，以实际收到款项为准。若未收到建设单位款项，需要采购人先支付的（含应扣未扣材料费及其他费用），采购人垫付的款项需按采购人公司规定的贷款利息（付款前由双方确认）计提利息后在成交人工程进度款中扣回；（2）成交人申报完成工程量时，须有建设单位确认的工程进度证明。进度款如出现超付时，超付部分在下期付款时扣回或成交人在采购人承接的其他项目款项中扣除，成交人不得有异议；如不足采购人有权通过法律程序追诉；（3）成交人向采购人收取工程款时须按本合同业务提供合法有效的增值税发票（成交人需提供增值税专用发票，税率为9%），双方遵循先开票后付款；（4）工程竣工后，甲乙双方按上述条款有关约定，办理完结算手续，建设单位将结算款拨付给采购人后，由采购人及时按照约定拨付成交人，并按《向阳村、四塘村党群服务站建设工程总承包施工合同》约定扣留质量保证金，缺陷责任期间的采购人承担的义务及费用均由成交人完成，工程尾款及质保金的回收责任由成交人负责，采购人协助办理。
7、采购人负责指导、监督、检查成交人按《向阳村、四塘村党群服务站建设工程施工总承包施工合同》要求完成工程进度、质量、安全文明施工等目标。采购人有权按照内部的管理制度对成交人施工作业进行定期或不定期的进度、质量、安全、文明施工、劳资等方面的检查并进行评定，根据评定结果进行处罚；对成交人达不到《向阳村、四塘村党群服务站建设工程总承包施工合同》约定或建设单位要求，采购人在第二次警告后仍无改进，采购人有权自行安排人员整改，其费用由成交人负责，成交人不得有异议。
8、工期、质量、安全方面，成交人应保证工程按照《向阳村、四塘村党群服务站建设工程施工施工总承包施工合同》如期完成，认真执行施工安全法规和标准、施工验收规范、质量评定标准。
9、因成交人原因发生工期延误、质量和安全事故，所造成的经济损失和法律责任由成交人自行负责
10、采购人代成交人垫付的一切款项，若出现成交人应收的工程款不够抵扣，如成交人有其他项目，则采购人有权从成交人承接采购人其他项目工程款中扣除，如其他工程款不能全部抵扣或没有项目工程款可扣的，则采购人有权追究成交人的法律和经济责任，成交人不得有任何异议。
11、安责险、工伤保险及工程一切险由采购人统一购买，由采购人代缴，在成交人进度款中转扣。每期按成交人当期验工计价金额*相应保险费率计算扣款金额。
12、在施工中成交人必须严格执行采购人及建设单位有关文明施工及CI覆盖的要求和规定，现场文明施工，保证企业形象。成交人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向阳村、四塘村党群服务站建设工程施工总承包施工合同》的要求执行，负责向建设单位办理本工程的竣工结算，该结算由成交人以采购人名义并按采购人及建设方有关管理程序办理，采购人负责指导和协助。
14、</t>
    </r>
    <r>
      <rPr>
        <sz val="9"/>
        <color rgb="FFFF0000"/>
        <rFont val="宋体"/>
        <charset val="134"/>
      </rPr>
      <t>材料与设备供应：（1）材料品牌严格按《向阳村、四塘村党群服务站建设工程施工总承包施工合同》中约定或建设单位下发的《大横琴集团材料设备品牌库（过渡期使用）》的《拟参考品牌表（向阳村、四塘村党群服务站建设工程施工总承包施工合同）》约定的范围确认、下订单前需征求采购人的意见。</t>
    </r>
    <r>
      <rPr>
        <sz val="9"/>
        <rFont val="宋体"/>
        <charset val="134"/>
      </rPr>
      <t>（2）若成交人未按规定品牌材料购买导致被采购人及建设方扣罚的，则由成交人承担罚款及引起的一切责任，同时，采购人可在建设方罚款的基础上，另对成交人追加 50%的处罚。（3）成交人自行采购（租赁）的材料及设备必须选用合格产品，并按规定以采购人名义向质监部门送检及备案，所有报告原件必须报采购人备案；严禁无产品合格证和无质量验收手续的材料及备案不合格的设备使用于工程项目。
15、其余未尽事宜详见总包合同。</t>
    </r>
  </si>
  <si>
    <t>最终结算总金额=《向阳村、四塘村党群服务站建设工程总承包施工合同》对应施工内容结算总造价(含绿措费、其他措施费及其他费等)*成交费率</t>
  </si>
  <si>
    <t>税金</t>
  </si>
  <si>
    <t xml:space="preserve">备注：
1、成交人施工场地必须做到工完场清；
2、本工程项目安全文明施工要求：应按照建设单位及珠海市政府相关部门规定做好文明施工，施工现场符合《珠海市扬尘污染防治管理办法》的规定，并按有关规定做好围蔽工作；
3、本工程项目质量要求：配合主体争创国家优质工程奖。综合单价已包含所有费用；
4、工人生活区板房按200元每间每月交纳住宿费，铁架床及空调由成交人负责，每间住宿人数不低于6人，户内电费挂表按实计取，水费及公共区电费按15元/人/月标准计取，卫生费及宿舍区保安费用按30元/人/月标准计取，费用在当月进度款中扣除；
5、成交人必须配合采购人现场管理人员现场管理及安全文明施工，且必须配备专职现场管理人员、专职安全管理人员、专职劳资管理人员，管理人员数量配备须满足采购人需求，不允许兼职方式；
6、本工程已包含3%安全文明施工费（合同含税金额的3%），进度款申报时，成交人需提供金额对等的安全文明施工费发票，否则不予支付进度款。
7、履约保证金比例：合同金额的10%，详细请见合同条款。
8、暂定总承包分部分项不含税总造价为项目整体的暂定金额，不作为结算依据；成交人须服从采购人分配的标段界面施工且综合考虑采购人划分的施工范围界面、量差、周转等一切风险因素，结算时费率不作调整。
</t>
  </si>
  <si>
    <t>供应商（盖章）：
法人或被授权人（签章）：</t>
  </si>
  <si>
    <t>建设工程投标报价汇总表</t>
  </si>
  <si>
    <t>项目名称:</t>
  </si>
  <si>
    <t>向阳村、四塘村党群服务站建设工程-消防专业分包工程</t>
  </si>
  <si>
    <t>第1页, 共2页</t>
  </si>
  <si>
    <t>单位工程名称</t>
  </si>
  <si>
    <t>金额(元)</t>
  </si>
  <si>
    <t>其中：（元）</t>
  </si>
  <si>
    <t>暂估价</t>
  </si>
  <si>
    <t>绿色施工安全防护措施费</t>
  </si>
  <si>
    <t/>
  </si>
  <si>
    <t>向阳村党群服务站建设工程</t>
  </si>
  <si>
    <t>1</t>
  </si>
  <si>
    <t>向阳村党群服务站建设工程-防火门工程</t>
  </si>
  <si>
    <t>24290.55</t>
  </si>
  <si>
    <t>向阳村党群服务站建设工程-消防工程</t>
  </si>
  <si>
    <t>261154.11</t>
  </si>
  <si>
    <t>19576.16</t>
  </si>
  <si>
    <t>向阳村党群服务站建设工程-消防标识工程</t>
  </si>
  <si>
    <t>小计</t>
  </si>
  <si>
    <t>四塘村党群服务站建设工程</t>
  </si>
  <si>
    <t>四塘村党群服务站建设工程-防火门工程</t>
  </si>
  <si>
    <t>9312.34</t>
  </si>
  <si>
    <t>四塘村党群服务站建设工程-消防工程</t>
  </si>
  <si>
    <t>184804.78</t>
  </si>
  <si>
    <t>7655.48</t>
  </si>
  <si>
    <t>四塘村党群服务站建设工程-消防标识工程</t>
  </si>
  <si>
    <t>合    计</t>
  </si>
  <si>
    <t>注：本表适用于工程项目投标报价的汇总；暂估价包括分部分项工程中的暂估价和专业工程暂估价。</t>
  </si>
  <si>
    <t>高压电缆进线安装专业分包工程-控制价审批表</t>
  </si>
  <si>
    <t>项目名称：珠海隧道工程应急救援管理中心和绿化标-高压电缆进线安装专业分包工程</t>
  </si>
  <si>
    <t>暂定总承包高压电缆进线安装专业分包工程不含税总造价</t>
  </si>
  <si>
    <t>高压电缆进线安装专业分包工程</t>
  </si>
  <si>
    <r>
      <rPr>
        <sz val="9"/>
        <rFont val="宋体"/>
        <charset val="134"/>
      </rPr>
      <t>1、珠海隧道工程应急救援管理中心和绿化标高压电缆进线专业分包工程造价计算约定详见《珠海隧道工程应急救援管理中心和绿化标施工合同》，本工程建筑面积约2391.6平方米。结算按甲方与建设单位签订的《珠海隧道工程应急救援管理中心和绿化标施工合同》（即甲方与建设单位签订的总包合同，作为结算的附件）相关条款执行，结算由乙方以甲方的名义与建设方进行办理（包括但不限于办理对数、材料比价、材料价格的调整、工程变更、款项核对、合同结算等所有工作内容）。
2、按照甲方与建设单位确认的结算价并按照甲乙双方约定下浮率下浮后，扣除代付款及其他应扣除的费用后支付乙方，由乙方自负盈亏。
3、乙方的结算金额综合考虑了施工期间人工、材料、机械及小型机具以及甲方可提供的现有垂直运输设备等因素，其中施工现场水电费由乙方自行承担，乙方需做到工完场清，乙方施工所造成的建筑垃圾由乙方堆放到甲方指定地点，若由甲方代为处理费用从乙方应收进度款和结算款中全额扣除。
4、政府部门规定的与乙方承包范围相关的规费及税费，由乙方自行全部承担。
5、在乙方每次申请工程款时，扣除相关的规费及税费及其它代付款等乙方应承担费用，从乙方应收工程款中扣除；支付比例达95%时，全额收取乙方应承担费用
6、工程款支付：（1）工程款由乙方自行根据《珠海隧道工程应急救援管理中心和绿化标施工合同》的约定，以甲方的名义向建设单位申报及协助甲方收取。流程为：乙方按《珠海隧道工程应急救援管理中心和绿化标施工合同》要求上报经建设单位确认的当月或节点完成工程量→甲方初步审核→建设单位审核→建设单位支付甲方款项→乙方向甲方申请款项→甲方按照甲乙双方约定下浮率下浮后，扣除代付款和其他应扣除的费用后支付乙方工程款。如建设单位延期支付工程款，甲方支付给乙方的工程款作相应延期，以实际收到款项为准。若未收到建设单位款项，需要甲方先支付的（含应扣未扣材料费及其他费用），甲方垫付的款项需按甲方公司规定的贷款利息（付款前由双方确认）计提利息后在乙方工程进度款中扣回；（2）乙方申报完成工程量时，须有建设单位确认的工程进度证明。进度款如出现超付时，超付部分在下期付款时扣回或乙方在甲方承接的其他项目款项中扣除，乙方不得有异议；如不足甲方有权通过法律程序追诉；（3）乙方向甲方收取工程款时须按本合同业务提供合法有效的增值税发票（乙方需提供增值税专用发票，税率为9%），双方遵循先开票后付款；（4）工程竣工后，甲乙双方按上述条款有关约定，办理完结算手续，建设单位将结算款拨付给甲方后，由甲方及时按照约定拨付乙方，并按《珠海隧道工程应急救援管理中心和绿化标施工合同》约定扣留质量保证金，缺陷责任期间的甲方承担的义务及费用均由乙方完成，工程尾款及质保金的回收责任由乙方负责，甲方协助办理。
7、甲方负责指导、监督、检查乙方按《珠海隧道工程应急救援管理中心和绿化标施工合同》要求完成工程进度、质量、安全文明施工等目标。甲方有权按照内部的管理制度对乙方施工作业进行定期或不定期的进度、质量、安全、文明施工、劳资等方面的检查并进行评定，根据评定结果进行处罚；对乙方达不到《珠海隧道工程应急救援管理中心和绿化标施工合同》约定或建设单位要求，甲方在第二次警告后仍无改进，甲方有权自行安排人员整改，其费用由乙方负责，乙方不得有异议。
8、工期、质量、安全方面，乙方应保证工程按照《珠海隧道工程应急救援管理中心和绿化标施工合同》如期完成，认真执行施工安全法规和标准、施工验收规范、质量评定标准。
9、因乙方原因发生工期延误、质量和安全事故，所造成的经济损失和法律责任由乙方自行负责
10、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11、安责险、工伤保险及工程一切险由甲方统一购买，由甲方代缴，在乙方进度款中转扣。每期按乙方当期验工计价金额*相应保险费率计算扣款金额。
12、在施工中乙方必须严格执行甲方及建设单位有关文明施工及CI覆盖的要求和规定，现场文明施工，保证企业形象。乙方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珠海隧道工程应急救援管理中心和绿化标施工合同》的要求执行，负责向建设单位办理本工程的竣工结算，该结算由乙方以甲方名义并按甲方及建设方有关管理程序办理，甲方负责指导和协助。
14、材料与设备供应：（1）材料品牌严格按珠海隧道工程应急救援管理中心和绿化标施工招标文件中约定的《拟参考品牌表（珠海隧道工程应急救援管理中心和绿化标项目）》约定的范围确认、下订单前需征求甲方的意见。（2）若乙方未按规定品牌材料购买导致被甲方及建设方扣罚的，则由乙方承担罚款及引起的一切责任，同时，甲方可在建设方罚款的基础上，另对乙方追加 50%的处罚。（3）乙方自行采购（租赁）的材料及设备必须选用合格产品，并按规定以甲方名义向质监部门送检及备案，所有报告原件必须报甲方备案；严禁无产品合格证和无质量验收手续的材料及备案不合格的设备使用于工程项目。
15、乙方需根据甲方要求及施工方案、技术要求执行；乙方充分了解项目现场情况，根据甲方要求完成户内、户外临水临电安装（含多次迁改），乙方报价需考虑所有主材、辅材等费用，包括且不限于：户内、户外的临水临电、临时照明、临时消防安拆等一切完成该项工作内容，费用综合考虑。
16、</t>
    </r>
    <r>
      <rPr>
        <sz val="9"/>
        <color rgb="FFFF0000"/>
        <rFont val="宋体"/>
        <charset val="134"/>
      </rPr>
      <t>高压电缆进线工程目前属于暂估价部分，需乙方按建设单位及甲方要求由指定接驳点将线路接入甲方要求地点，该项工作内容已包含并满足现场临时及永久用电的需求和负责相应的临电、永电方案报批，费用已综合考虑；乙方报价需自行考虑包括完成临时、永久用电的深化高压进线电缆图纸，路径规划报批、预算编制、过程施工、标识设置及全套试验报验等一切工作内容，并要求乙方确保通过当地供电部门审批验收，费用自行综合考虑。</t>
    </r>
    <r>
      <rPr>
        <sz val="9"/>
        <rFont val="宋体"/>
        <charset val="134"/>
      </rPr>
      <t xml:space="preserve">
17、</t>
    </r>
    <r>
      <rPr>
        <sz val="9"/>
        <color rgb="FFFF0000"/>
        <rFont val="宋体"/>
        <charset val="134"/>
      </rPr>
      <t>用于临电施工的电缆等，永电可以利用，费用已综合考虑。</t>
    </r>
    <r>
      <rPr>
        <sz val="9"/>
        <rFont val="宋体"/>
        <charset val="134"/>
      </rPr>
      <t xml:space="preserve">
18、其余未尽事宜详见总包合同。</t>
    </r>
  </si>
  <si>
    <t>按《珠海隧道工程应急救援管理中心和绿化标施工合同》高压电缆进线安装专业分包工程最终结算总金额=《珠海隧道工程应急救援管理中心和绿化标施工合同》对应施工内容结算总造价*（1-总包中标基础上的下浮百分率）</t>
  </si>
  <si>
    <t>临时用电工程</t>
  </si>
  <si>
    <t>1、施工范围：满足根据甲方提供的《珠海隧道工程应急救援管理中心和绿化标施工合同临电需求方案》所要求的所有临电工程全部设备材料采购（甲供除外）、土建工程、安装工程、检测、试验、资料、验收、送电等达到甲方用电条件的一切事宜，及为完成施工范围所有项目并达到规范质量要求必须采取的施工措施等。临时用电工程费用包含一切非永久用电的临时用电施工部分；用于永久用电的临时用电施工部分，费用已包含在“高压电缆进线安装专业分包工程”，费用不再重复计算。
2、按照乙方最终结算金额扣除代付款和其他应扣除的费用后支付乙方，由乙方自负盈亏。乙方所交付的货品应符合现行国家相关检测标准，并满足如下特别的质量技术要求：设计、施工及相关技术要求，能满足当地质监部门现场抽检且合格产品；所有相关检测、检验费用均由乙方承担。
3、投标价格包含了人工费、材料费（除甲供外，含检测费用）、机械及小型机具费（除甲供外）、运输费（二次及多次转运)、燃料费、施工水电费、进退场费、管理费、停窝工费、人工与机械降效、超时工作、雨季施工费、夜间施工、交叉施工、非不可抗力恶劣自然条件下施工等、成品保护费、风险费、利润、政府部门规定的与乙方承包范围相关规费及税费（包括增值税、城建税及教育费附加和地方教育附加等）、保险、施工现场可能出现的停水、停电、施工场地受限、施工安全风险因素、企业自身实际情况、外部环境因素、应缴纳的相关部门的手续费及政府主管部门、绿色施工安全防护措施费以及合同包含的包质量、包安全、包CI包项目驻地建设、包赶工措施等所有风险、责任等所有费用。
4、政府部门规定的与乙方承包范围相关的规费及税费，由乙方自行全部承担。
5、甲方有权按照内部的管理制度对乙方施工作业进行定期或不定期的进度、质量、安全、文明施工、劳资等方面的检查并进行评定，根据评定结果进行处罚；对乙方达不到甲方的要求及约定或建设单位要求，甲方在第二次警告后仍无改进，甲方有权自行安排人员整改，其费用由乙方负责，乙方不得有异议。
6、在施工中乙方必须严格执行甲方及建设单位有关文明施工及CI覆盖的要求和规定，现场文明施工，保证企业形象。
7、因乙方原因发生工期延误、质量和安全事故，所造成的经济损失和法律责任由乙方自行负责
8、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9、安责险及工伤保险费按实施项目结算金额的1.5‰分摊，此项费用在结算时扣除。
10、投标方案及对应清单若存在漏项，甲方在结算时不予调整，相关费用均由乙方自行全部承担。 
11、材料与设备供应：
（1）材料品牌按建设单位及甲方要求为准规定执行。
（2）若乙方未按规定品牌材料购买导致被甲方及建设方扣罚的，则由乙方承担罚款及引起的一切责任，同时，甲方可在建设方罚款的基础上，另对乙方追加 50%的处罚。
（3）乙方自行采购（租赁）的材料及设备必须选用合格产品，并按规定以甲方名义向质监部门送检及备案，费用由乙方承担，所有报告原件必须报甲方备案；严禁无产品合格证和无质量验收手续的材料及备案不合格的设备使用于工程项目。</t>
  </si>
  <si>
    <t>按建筑面积计算</t>
  </si>
  <si>
    <t>/</t>
  </si>
  <si>
    <t>固定单价</t>
  </si>
  <si>
    <t>室外工程</t>
  </si>
  <si>
    <t>消防工程</t>
  </si>
  <si>
    <t>分部分项</t>
  </si>
  <si>
    <t>含绿措费</t>
  </si>
  <si>
    <t>电气工程</t>
  </si>
  <si>
    <t>其中：电气火灾监控系统【并入消防】</t>
  </si>
  <si>
    <t>室内给排水工程</t>
  </si>
  <si>
    <t>室外给排水工程</t>
  </si>
  <si>
    <t>自控工程</t>
  </si>
  <si>
    <t>暖通工程</t>
  </si>
  <si>
    <t>电气及给排水、暖通专业分包工程</t>
  </si>
  <si>
    <t>室外工程、消防工程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</si>
</sst>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0\)"/>
    <numFmt numFmtId="178" formatCode="#,##0.00_ "/>
    <numFmt numFmtId="179" formatCode="0.0_ "/>
  </numFmts>
  <fonts count="54">
    <font>
      <sz val="11"/>
      <color theme="1"/>
      <name val="宋体"/>
      <charset val="134"/>
      <scheme val="minor"/>
    </font>
    <font>
      <sz val="11"/>
      <color rgb="FFFF0000"/>
      <name val="宋体"/>
      <charset val="134"/>
      <scheme val="minor"/>
    </font>
    <font>
      <sz val="18"/>
      <color theme="1"/>
      <name val="宋体"/>
      <charset val="134"/>
      <scheme val="minor"/>
    </font>
    <font>
      <b/>
      <sz val="11"/>
      <color theme="1"/>
      <name val="宋体"/>
      <charset val="134"/>
      <scheme val="minor"/>
    </font>
    <font>
      <sz val="11"/>
      <name val="宋体"/>
      <charset val="134"/>
      <scheme val="minor"/>
    </font>
    <font>
      <b/>
      <sz val="18"/>
      <name val="宋体"/>
      <charset val="134"/>
      <scheme val="minor"/>
    </font>
    <font>
      <b/>
      <sz val="11"/>
      <name val="宋体"/>
      <charset val="134"/>
      <scheme val="minor"/>
    </font>
    <font>
      <b/>
      <sz val="9"/>
      <name val="宋体"/>
      <charset val="134"/>
      <scheme val="minor"/>
    </font>
    <font>
      <sz val="9"/>
      <name val="宋体"/>
      <charset val="134"/>
      <scheme val="minor"/>
    </font>
    <font>
      <sz val="9"/>
      <name val="宋体"/>
      <charset val="134"/>
    </font>
    <font>
      <sz val="9"/>
      <color rgb="FFFF0000"/>
      <name val="宋体"/>
      <charset val="134"/>
      <scheme val="minor"/>
    </font>
    <font>
      <b/>
      <sz val="10"/>
      <name val="宋体"/>
      <charset val="134"/>
      <scheme val="minor"/>
    </font>
    <font>
      <sz val="10"/>
      <name val="宋体"/>
      <charset val="134"/>
      <scheme val="minor"/>
    </font>
    <font>
      <sz val="9"/>
      <name val="SimSun"/>
      <charset val="134"/>
    </font>
    <font>
      <b/>
      <sz val="20"/>
      <name val="宋体"/>
      <charset val="134"/>
    </font>
    <font>
      <b/>
      <sz val="10"/>
      <name val="宋体"/>
      <charset val="134"/>
    </font>
    <font>
      <sz val="10"/>
      <name val="宋体"/>
      <charset val="134"/>
    </font>
    <font>
      <b/>
      <sz val="18"/>
      <color theme="1"/>
      <name val="宋体"/>
      <charset val="134"/>
      <scheme val="minor"/>
    </font>
    <font>
      <b/>
      <sz val="18"/>
      <color rgb="FFFF0000"/>
      <name val="宋体"/>
      <charset val="134"/>
      <scheme val="minor"/>
    </font>
    <font>
      <b/>
      <sz val="10"/>
      <color theme="1"/>
      <name val="宋体"/>
      <charset val="134"/>
      <scheme val="minor"/>
    </font>
    <font>
      <sz val="10"/>
      <color theme="1"/>
      <name val="宋体"/>
      <charset val="134"/>
      <scheme val="minor"/>
    </font>
    <font>
      <sz val="10"/>
      <color rgb="FFFF0000"/>
      <name val="宋体"/>
      <charset val="134"/>
      <scheme val="minor"/>
    </font>
    <font>
      <b/>
      <sz val="9"/>
      <color theme="1"/>
      <name val="宋体"/>
      <charset val="134"/>
      <scheme val="minor"/>
    </font>
    <font>
      <b/>
      <sz val="8"/>
      <color theme="1"/>
      <name val="宋体"/>
      <charset val="134"/>
      <scheme val="minor"/>
    </font>
    <font>
      <b/>
      <sz val="8"/>
      <name val="宋体"/>
      <charset val="134"/>
      <scheme val="minor"/>
    </font>
    <font>
      <b/>
      <sz val="9"/>
      <color rgb="FFFF0000"/>
      <name val="宋体"/>
      <charset val="134"/>
      <scheme val="minor"/>
    </font>
    <font>
      <b/>
      <sz val="9"/>
      <color rgb="FF000000"/>
      <name val="宋体"/>
      <charset val="134"/>
    </font>
    <font>
      <sz val="9"/>
      <color theme="1"/>
      <name val="宋体"/>
      <charset val="134"/>
      <scheme val="minor"/>
    </font>
    <font>
      <sz val="9"/>
      <color rgb="FF000000"/>
      <name val="宋体"/>
      <charset val="134"/>
    </font>
    <font>
      <sz val="9"/>
      <color rgb="FFFF0000"/>
      <name val="宋体"/>
      <charset val="134"/>
    </font>
    <font>
      <b/>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9"/>
      <color theme="4"/>
      <name val="宋体"/>
      <charset val="134"/>
    </font>
    <font>
      <sz val="9"/>
      <color theme="4" tint="-0.25"/>
      <name val="宋体"/>
      <charset val="134"/>
    </font>
  </fonts>
  <fills count="38">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indexed="9"/>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7" borderId="11"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2" applyNumberFormat="0" applyFill="0" applyAlignment="0" applyProtection="0">
      <alignment vertical="center"/>
    </xf>
    <xf numFmtId="0" fontId="37" fillId="0" borderId="12" applyNumberFormat="0" applyFill="0" applyAlignment="0" applyProtection="0">
      <alignment vertical="center"/>
    </xf>
    <xf numFmtId="0" fontId="38" fillId="0" borderId="13" applyNumberFormat="0" applyFill="0" applyAlignment="0" applyProtection="0">
      <alignment vertical="center"/>
    </xf>
    <xf numFmtId="0" fontId="38" fillId="0" borderId="0" applyNumberFormat="0" applyFill="0" applyBorder="0" applyAlignment="0" applyProtection="0">
      <alignment vertical="center"/>
    </xf>
    <xf numFmtId="0" fontId="39" fillId="8" borderId="14" applyNumberFormat="0" applyAlignment="0" applyProtection="0">
      <alignment vertical="center"/>
    </xf>
    <xf numFmtId="0" fontId="40" fillId="9" borderId="15" applyNumberFormat="0" applyAlignment="0" applyProtection="0">
      <alignment vertical="center"/>
    </xf>
    <xf numFmtId="0" fontId="41" fillId="9" borderId="14" applyNumberFormat="0" applyAlignment="0" applyProtection="0">
      <alignment vertical="center"/>
    </xf>
    <xf numFmtId="0" fontId="42" fillId="10" borderId="16" applyNumberFormat="0" applyAlignment="0" applyProtection="0">
      <alignment vertical="center"/>
    </xf>
    <xf numFmtId="0" fontId="43" fillId="0" borderId="17" applyNumberFormat="0" applyFill="0" applyAlignment="0" applyProtection="0">
      <alignment vertical="center"/>
    </xf>
    <xf numFmtId="0" fontId="44" fillId="0" borderId="18" applyNumberFormat="0" applyFill="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9" fillId="35" borderId="0" applyNumberFormat="0" applyBorder="0" applyAlignment="0" applyProtection="0">
      <alignment vertical="center"/>
    </xf>
    <xf numFmtId="0" fontId="49" fillId="36" borderId="0" applyNumberFormat="0" applyBorder="0" applyAlignment="0" applyProtection="0">
      <alignment vertical="center"/>
    </xf>
    <xf numFmtId="0" fontId="48" fillId="37" borderId="0" applyNumberFormat="0" applyBorder="0" applyAlignment="0" applyProtection="0">
      <alignment vertical="center"/>
    </xf>
    <xf numFmtId="0" fontId="50" fillId="0" borderId="0">
      <alignment vertical="center"/>
    </xf>
    <xf numFmtId="0" fontId="51" fillId="0" borderId="0"/>
    <xf numFmtId="0" fontId="27" fillId="0" borderId="0"/>
    <xf numFmtId="0" fontId="51" fillId="0" borderId="0"/>
    <xf numFmtId="0" fontId="0" fillId="0" borderId="0">
      <alignment vertical="center"/>
    </xf>
    <xf numFmtId="0" fontId="51" fillId="0" borderId="0"/>
  </cellStyleXfs>
  <cellXfs count="204">
    <xf numFmtId="0" fontId="0" fillId="0" borderId="0" xfId="0">
      <alignment vertical="center"/>
    </xf>
    <xf numFmtId="0" fontId="1" fillId="2" borderId="0" xfId="0" applyFont="1" applyFill="1">
      <alignment vertical="center"/>
    </xf>
    <xf numFmtId="0" fontId="0" fillId="3" borderId="0" xfId="0" applyFill="1">
      <alignment vertical="center"/>
    </xf>
    <xf numFmtId="0" fontId="1" fillId="3" borderId="0" xfId="0" applyFont="1" applyFill="1">
      <alignment vertical="center"/>
    </xf>
    <xf numFmtId="0" fontId="0" fillId="2" borderId="0" xfId="0" applyFill="1">
      <alignment vertical="center"/>
    </xf>
    <xf numFmtId="43" fontId="0" fillId="0" borderId="0" xfId="0" applyNumberFormat="1">
      <alignment vertical="center"/>
    </xf>
    <xf numFmtId="0" fontId="1" fillId="4" borderId="0" xfId="0" applyFont="1" applyFill="1">
      <alignment vertical="center"/>
    </xf>
    <xf numFmtId="43" fontId="0" fillId="2" borderId="0" xfId="0" applyNumberFormat="1" applyFill="1">
      <alignment vertical="center"/>
    </xf>
    <xf numFmtId="0" fontId="0" fillId="4" borderId="0" xfId="0" applyFill="1">
      <alignment vertical="center"/>
    </xf>
    <xf numFmtId="0" fontId="2" fillId="0" borderId="0" xfId="0" applyFont="1" applyAlignment="1">
      <alignment vertical="center"/>
    </xf>
    <xf numFmtId="0" fontId="0" fillId="0" borderId="0" xfId="0" applyFont="1" applyAlignment="1">
      <alignment vertical="center"/>
    </xf>
    <xf numFmtId="0" fontId="0" fillId="0" borderId="0" xfId="0" applyFont="1" applyAlignment="1" applyProtection="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0" fontId="5" fillId="0" borderId="0" xfId="0" applyFont="1" applyAlignment="1">
      <alignment horizontal="center" vertical="center"/>
    </xf>
    <xf numFmtId="176" fontId="5" fillId="0" borderId="0" xfId="0" applyNumberFormat="1" applyFont="1" applyAlignment="1">
      <alignment horizontal="center" vertical="center"/>
    </xf>
    <xf numFmtId="0" fontId="6"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176" fontId="4" fillId="0" borderId="0" xfId="0" applyNumberFormat="1" applyFont="1" applyBorder="1" applyAlignment="1">
      <alignment horizontal="left" vertical="center"/>
    </xf>
    <xf numFmtId="176" fontId="4" fillId="0" borderId="0" xfId="0" applyNumberFormat="1" applyFont="1" applyBorder="1" applyAlignment="1">
      <alignment horizontal="center" vertical="center"/>
    </xf>
    <xf numFmtId="0" fontId="7" fillId="0" borderId="1" xfId="0" applyFont="1" applyBorder="1" applyAlignment="1" applyProtection="1">
      <alignment horizontal="center" vertical="center"/>
    </xf>
    <xf numFmtId="0" fontId="7" fillId="0" borderId="1" xfId="0" applyFont="1" applyBorder="1" applyAlignment="1" applyProtection="1">
      <alignment horizontal="center" vertical="center" wrapText="1"/>
    </xf>
    <xf numFmtId="0" fontId="7" fillId="0" borderId="2" xfId="0" applyFont="1" applyBorder="1" applyAlignment="1" applyProtection="1">
      <alignment horizontal="center" vertical="center"/>
    </xf>
    <xf numFmtId="176" fontId="7" fillId="0" borderId="2" xfId="0" applyNumberFormat="1" applyFont="1" applyBorder="1" applyAlignment="1" applyProtection="1">
      <alignment horizontal="center" vertical="center" wrapText="1"/>
    </xf>
    <xf numFmtId="176" fontId="7" fillId="0" borderId="1" xfId="0" applyNumberFormat="1" applyFont="1" applyBorder="1" applyAlignment="1" applyProtection="1">
      <alignment horizontal="center" vertical="center" wrapText="1"/>
    </xf>
    <xf numFmtId="0" fontId="7" fillId="0" borderId="3" xfId="0" applyFont="1" applyBorder="1" applyAlignment="1" applyProtection="1">
      <alignment horizontal="center" vertical="center"/>
    </xf>
    <xf numFmtId="176" fontId="7" fillId="0" borderId="3" xfId="0" applyNumberFormat="1" applyFont="1" applyBorder="1" applyAlignment="1" applyProtection="1">
      <alignmen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176" fontId="8" fillId="0" borderId="2" xfId="0" applyNumberFormat="1" applyFont="1" applyBorder="1" applyAlignment="1">
      <alignment horizontal="center" vertical="center"/>
    </xf>
    <xf numFmtId="10" fontId="8" fillId="0" borderId="1" xfId="3" applyNumberFormat="1" applyFont="1" applyBorder="1" applyAlignment="1">
      <alignment horizontal="center" vertical="center"/>
    </xf>
    <xf numFmtId="0" fontId="8"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8" fillId="0" borderId="3" xfId="0" applyFont="1" applyBorder="1" applyAlignment="1">
      <alignment horizontal="left" vertical="center" wrapText="1"/>
    </xf>
    <xf numFmtId="176" fontId="8" fillId="0" borderId="3" xfId="0" applyNumberFormat="1" applyFont="1" applyBorder="1" applyAlignment="1">
      <alignment horizontal="center" vertical="center"/>
    </xf>
    <xf numFmtId="177"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0" fontId="8" fillId="0" borderId="3" xfId="0" applyFont="1" applyBorder="1" applyAlignment="1">
      <alignment horizontal="justify" vertical="center" wrapText="1"/>
    </xf>
    <xf numFmtId="0" fontId="10" fillId="0" borderId="3" xfId="0" applyFont="1" applyFill="1" applyBorder="1" applyAlignment="1">
      <alignment horizontal="center" vertical="center" wrapText="1"/>
    </xf>
    <xf numFmtId="176" fontId="10" fillId="0" borderId="3" xfId="0" applyNumberFormat="1" applyFont="1" applyBorder="1" applyAlignment="1">
      <alignment horizontal="center" vertical="center"/>
    </xf>
    <xf numFmtId="176" fontId="10" fillId="0" borderId="1" xfId="0" applyNumberFormat="1" applyFont="1" applyBorder="1" applyAlignment="1">
      <alignment horizontal="center" vertical="center"/>
    </xf>
    <xf numFmtId="177"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Border="1" applyAlignment="1">
      <alignment horizontal="center" vertical="center"/>
    </xf>
    <xf numFmtId="177" fontId="7" fillId="0" borderId="3" xfId="0" applyNumberFormat="1" applyFont="1" applyBorder="1" applyAlignment="1">
      <alignment horizontal="center" vertical="center"/>
    </xf>
    <xf numFmtId="176" fontId="6" fillId="0" borderId="1" xfId="0" applyNumberFormat="1" applyFont="1" applyBorder="1" applyAlignment="1">
      <alignment vertical="center"/>
    </xf>
    <xf numFmtId="10" fontId="7" fillId="0" borderId="1" xfId="0" applyNumberFormat="1" applyFont="1" applyBorder="1" applyAlignment="1">
      <alignment horizontal="center" vertical="center"/>
    </xf>
    <xf numFmtId="0" fontId="3" fillId="0" borderId="0" xfId="0" applyFont="1" applyAlignment="1">
      <alignment horizontal="left" vertical="center"/>
    </xf>
    <xf numFmtId="0" fontId="11"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xf>
    <xf numFmtId="0" fontId="13" fillId="0" borderId="0" xfId="0" applyFont="1" applyFill="1" applyAlignment="1"/>
    <xf numFmtId="0" fontId="14" fillId="5" borderId="0" xfId="0" applyFont="1" applyFill="1" applyAlignment="1">
      <alignment horizontal="center" vertical="center" wrapText="1"/>
    </xf>
    <xf numFmtId="0" fontId="15" fillId="5" borderId="0" xfId="0" applyFont="1" applyFill="1" applyAlignment="1">
      <alignment wrapText="1"/>
    </xf>
    <xf numFmtId="0" fontId="15" fillId="5" borderId="0" xfId="0" applyFont="1" applyFill="1" applyAlignment="1">
      <alignment horizontal="right" wrapText="1"/>
    </xf>
    <xf numFmtId="0" fontId="15" fillId="5" borderId="4"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4" xfId="0" applyFont="1" applyFill="1" applyBorder="1" applyAlignment="1">
      <alignment horizontal="left" vertical="center" wrapText="1"/>
    </xf>
    <xf numFmtId="2" fontId="16" fillId="5" borderId="4" xfId="0" applyNumberFormat="1" applyFont="1" applyFill="1" applyBorder="1" applyAlignment="1">
      <alignment horizontal="right" vertical="center" wrapText="1"/>
    </xf>
    <xf numFmtId="2" fontId="16" fillId="5" borderId="5" xfId="0" applyNumberFormat="1" applyFont="1" applyFill="1" applyBorder="1" applyAlignment="1">
      <alignment horizontal="center" vertical="center" wrapText="1"/>
    </xf>
    <xf numFmtId="2" fontId="16" fillId="5" borderId="6" xfId="0" applyNumberFormat="1" applyFont="1" applyFill="1" applyBorder="1" applyAlignment="1">
      <alignment horizontal="center" vertical="center" wrapText="1"/>
    </xf>
    <xf numFmtId="0" fontId="16" fillId="5" borderId="0" xfId="0" applyFont="1" applyFill="1" applyAlignment="1">
      <alignment horizontal="left" wrapText="1"/>
    </xf>
    <xf numFmtId="0" fontId="7" fillId="0" borderId="2" xfId="0" applyFont="1" applyBorder="1" applyAlignment="1" applyProtection="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43" fontId="8" fillId="0" borderId="1" xfId="0" applyNumberFormat="1" applyFont="1" applyBorder="1" applyAlignment="1">
      <alignment horizontal="center" vertical="center"/>
    </xf>
    <xf numFmtId="0" fontId="8" fillId="0" borderId="1" xfId="0" applyFont="1" applyBorder="1" applyAlignment="1">
      <alignment horizontal="center" vertical="center"/>
    </xf>
    <xf numFmtId="10" fontId="8" fillId="0" borderId="1" xfId="3" applyNumberFormat="1" applyFont="1" applyBorder="1" applyAlignment="1">
      <alignment vertical="center"/>
    </xf>
    <xf numFmtId="43" fontId="7" fillId="0" borderId="1" xfId="0" applyNumberFormat="1" applyFont="1" applyBorder="1" applyAlignment="1">
      <alignment horizontal="center" vertical="center"/>
    </xf>
    <xf numFmtId="9" fontId="7"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9" fillId="0" borderId="2" xfId="0" applyFont="1" applyBorder="1" applyAlignment="1">
      <alignment horizontal="justify" vertical="center" wrapText="1"/>
    </xf>
    <xf numFmtId="0" fontId="9"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9"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0" fillId="6" borderId="0" xfId="0" applyFont="1" applyFill="1" applyAlignment="1">
      <alignment vertical="center"/>
    </xf>
    <xf numFmtId="0" fontId="3" fillId="0" borderId="0" xfId="0" applyFont="1" applyFill="1" applyAlignment="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176" fontId="0" fillId="0" borderId="0" xfId="0" applyNumberFormat="1" applyBorder="1" applyAlignment="1">
      <alignment horizontal="center" vertical="center"/>
    </xf>
    <xf numFmtId="178" fontId="0" fillId="0" borderId="0" xfId="0" applyNumberFormat="1" applyBorder="1" applyAlignment="1">
      <alignment horizontal="center" vertical="center" wrapText="1"/>
    </xf>
    <xf numFmtId="178" fontId="4" fillId="0" borderId="0" xfId="0" applyNumberFormat="1" applyFont="1" applyBorder="1" applyAlignment="1">
      <alignment horizontal="center" vertical="center" wrapText="1"/>
    </xf>
    <xf numFmtId="178" fontId="1" fillId="0" borderId="0"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176" fontId="17" fillId="0" borderId="1" xfId="0" applyNumberFormat="1" applyFont="1" applyBorder="1" applyAlignment="1">
      <alignment horizontal="center" vertical="center"/>
    </xf>
    <xf numFmtId="178" fontId="17"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178" fontId="18" fillId="0" borderId="1" xfId="0" applyNumberFormat="1" applyFont="1" applyFill="1" applyBorder="1" applyAlignment="1">
      <alignment horizontal="center" vertical="center" wrapText="1"/>
    </xf>
    <xf numFmtId="0" fontId="19"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left" vertical="center"/>
    </xf>
    <xf numFmtId="176" fontId="20" fillId="0" borderId="1" xfId="0" applyNumberFormat="1" applyFont="1" applyBorder="1" applyAlignment="1">
      <alignment horizontal="center" vertical="center"/>
    </xf>
    <xf numFmtId="178" fontId="20" fillId="0" borderId="1" xfId="0" applyNumberFormat="1" applyFont="1" applyBorder="1" applyAlignment="1">
      <alignment horizontal="center" vertical="center" wrapText="1"/>
    </xf>
    <xf numFmtId="178" fontId="12" fillId="0" borderId="1" xfId="0" applyNumberFormat="1" applyFont="1" applyBorder="1" applyAlignment="1">
      <alignment horizontal="center" vertical="center" wrapText="1"/>
    </xf>
    <xf numFmtId="178" fontId="21" fillId="0"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176" fontId="22" fillId="0" borderId="1" xfId="0" applyNumberFormat="1" applyFont="1" applyBorder="1" applyAlignment="1">
      <alignment horizontal="center" vertical="center" wrapText="1"/>
    </xf>
    <xf numFmtId="176" fontId="23" fillId="0" borderId="8" xfId="0" applyNumberFormat="1" applyFont="1" applyBorder="1" applyAlignment="1">
      <alignment horizontal="center" vertical="center" wrapText="1"/>
    </xf>
    <xf numFmtId="176" fontId="23" fillId="0" borderId="9" xfId="0" applyNumberFormat="1" applyFont="1" applyBorder="1" applyAlignment="1">
      <alignment horizontal="center" vertical="center" wrapText="1"/>
    </xf>
    <xf numFmtId="178" fontId="23" fillId="0" borderId="1" xfId="0" applyNumberFormat="1" applyFont="1" applyBorder="1" applyAlignment="1">
      <alignment horizontal="center" vertical="center" wrapText="1"/>
    </xf>
    <xf numFmtId="178" fontId="22" fillId="0" borderId="1" xfId="0" applyNumberFormat="1" applyFont="1" applyBorder="1" applyAlignment="1">
      <alignment horizontal="center" vertical="center" wrapText="1"/>
    </xf>
    <xf numFmtId="176" fontId="24" fillId="0" borderId="8" xfId="0" applyNumberFormat="1" applyFont="1" applyBorder="1" applyAlignment="1">
      <alignment horizontal="center" vertical="center" wrapText="1"/>
    </xf>
    <xf numFmtId="178" fontId="24" fillId="0" borderId="1" xfId="0" applyNumberFormat="1" applyFont="1" applyBorder="1" applyAlignment="1">
      <alignment horizontal="center" vertical="center" wrapText="1"/>
    </xf>
    <xf numFmtId="178" fontId="25" fillId="0" borderId="1" xfId="0" applyNumberFormat="1" applyFont="1" applyFill="1" applyBorder="1" applyAlignment="1">
      <alignment horizontal="center" vertical="center" wrapText="1"/>
    </xf>
    <xf numFmtId="178" fontId="25" fillId="0" borderId="8" xfId="0" applyNumberFormat="1" applyFont="1" applyBorder="1" applyAlignment="1">
      <alignment horizontal="center" vertical="center" wrapText="1"/>
    </xf>
    <xf numFmtId="178" fontId="25" fillId="0" borderId="9" xfId="0" applyNumberFormat="1" applyFont="1" applyBorder="1" applyAlignment="1">
      <alignment horizontal="center" vertical="center" wrapText="1"/>
    </xf>
    <xf numFmtId="176" fontId="22" fillId="0" borderId="8" xfId="0" applyNumberFormat="1" applyFont="1" applyBorder="1" applyAlignment="1">
      <alignment horizontal="center" vertical="center" wrapText="1"/>
    </xf>
    <xf numFmtId="176" fontId="22" fillId="0" borderId="10" xfId="0" applyNumberFormat="1" applyFont="1" applyBorder="1" applyAlignment="1">
      <alignment horizontal="center" vertical="center" wrapText="1"/>
    </xf>
    <xf numFmtId="176" fontId="22" fillId="0" borderId="1" xfId="0" applyNumberFormat="1" applyFont="1" applyBorder="1" applyAlignment="1">
      <alignment vertical="center"/>
    </xf>
    <xf numFmtId="176" fontId="22" fillId="0" borderId="9" xfId="0" applyNumberFormat="1" applyFont="1" applyBorder="1" applyAlignment="1">
      <alignment horizontal="center" vertical="center" wrapText="1"/>
    </xf>
    <xf numFmtId="178" fontId="22" fillId="0" borderId="8" xfId="0" applyNumberFormat="1" applyFont="1" applyBorder="1" applyAlignment="1">
      <alignment horizontal="center" vertical="center" wrapText="1"/>
    </xf>
    <xf numFmtId="178" fontId="22" fillId="0" borderId="10" xfId="0" applyNumberFormat="1" applyFont="1" applyBorder="1" applyAlignment="1">
      <alignment horizontal="center" vertical="center" wrapText="1"/>
    </xf>
    <xf numFmtId="176" fontId="7" fillId="0" borderId="8" xfId="0" applyNumberFormat="1" applyFont="1" applyBorder="1" applyAlignment="1">
      <alignment horizontal="center" vertical="center" wrapText="1"/>
    </xf>
    <xf numFmtId="178" fontId="7" fillId="0" borderId="8" xfId="0" applyNumberFormat="1" applyFont="1" applyBorder="1" applyAlignment="1">
      <alignment horizontal="center" vertical="center" wrapText="1"/>
    </xf>
    <xf numFmtId="178" fontId="25" fillId="0" borderId="8" xfId="0" applyNumberFormat="1" applyFont="1" applyFill="1" applyBorder="1" applyAlignment="1">
      <alignment horizontal="center" vertical="center" wrapText="1"/>
    </xf>
    <xf numFmtId="178" fontId="22" fillId="0" borderId="9" xfId="0" applyNumberFormat="1" applyFont="1" applyBorder="1" applyAlignment="1">
      <alignment horizontal="center" vertical="center" wrapText="1"/>
    </xf>
    <xf numFmtId="10" fontId="22" fillId="0" borderId="1" xfId="0" applyNumberFormat="1" applyFont="1" applyBorder="1" applyAlignment="1">
      <alignment horizontal="center" vertical="center"/>
    </xf>
    <xf numFmtId="176" fontId="22" fillId="0" borderId="1" xfId="0" applyNumberFormat="1" applyFont="1" applyBorder="1" applyAlignment="1">
      <alignment horizontal="center" vertical="center"/>
    </xf>
    <xf numFmtId="178" fontId="7" fillId="0" borderId="1" xfId="0" applyNumberFormat="1" applyFont="1" applyBorder="1" applyAlignment="1">
      <alignment horizontal="center" vertical="center" wrapText="1"/>
    </xf>
    <xf numFmtId="178" fontId="25" fillId="0" borderId="1" xfId="0" applyNumberFormat="1" applyFont="1" applyBorder="1" applyAlignment="1">
      <alignment horizontal="center" vertical="center" wrapText="1"/>
    </xf>
    <xf numFmtId="0" fontId="22" fillId="6" borderId="1" xfId="0" applyFont="1" applyFill="1" applyBorder="1" applyAlignment="1">
      <alignment horizontal="center" vertical="center" wrapText="1"/>
    </xf>
    <xf numFmtId="0" fontId="22" fillId="6" borderId="1" xfId="0" applyFont="1" applyFill="1" applyBorder="1" applyAlignment="1">
      <alignment horizontal="center" vertical="center"/>
    </xf>
    <xf numFmtId="176" fontId="22" fillId="6" borderId="1" xfId="0" applyNumberFormat="1" applyFont="1" applyFill="1" applyBorder="1" applyAlignment="1">
      <alignment horizontal="center" vertical="center"/>
    </xf>
    <xf numFmtId="178" fontId="22" fillId="6" borderId="1" xfId="0" applyNumberFormat="1" applyFont="1" applyFill="1" applyBorder="1" applyAlignment="1">
      <alignment horizontal="center" vertical="center" shrinkToFit="1"/>
    </xf>
    <xf numFmtId="178" fontId="22" fillId="6" borderId="1" xfId="0" applyNumberFormat="1" applyFont="1" applyFill="1" applyBorder="1" applyAlignment="1">
      <alignment horizontal="center" vertical="center" wrapText="1"/>
    </xf>
    <xf numFmtId="178" fontId="7" fillId="6" borderId="1" xfId="0" applyNumberFormat="1" applyFont="1" applyFill="1" applyBorder="1" applyAlignment="1">
      <alignment horizontal="center" vertical="center" shrinkToFit="1"/>
    </xf>
    <xf numFmtId="178" fontId="25" fillId="0" borderId="1" xfId="0" applyNumberFormat="1" applyFont="1" applyFill="1" applyBorder="1" applyAlignment="1">
      <alignment horizontal="center" vertical="center" shrinkToFit="1"/>
    </xf>
    <xf numFmtId="176" fontId="22" fillId="6" borderId="1" xfId="0" applyNumberFormat="1" applyFont="1" applyFill="1" applyBorder="1" applyAlignment="1">
      <alignment horizontal="center" vertical="center" shrinkToFit="1"/>
    </xf>
    <xf numFmtId="0" fontId="0" fillId="6" borderId="0" xfId="0" applyFill="1" applyAlignment="1">
      <alignment vertical="center"/>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178" fontId="22" fillId="0" borderId="1" xfId="0" applyNumberFormat="1" applyFont="1" applyBorder="1" applyAlignment="1">
      <alignment horizontal="center" vertical="center" shrinkToFit="1"/>
    </xf>
    <xf numFmtId="178" fontId="7" fillId="0" borderId="1" xfId="0" applyNumberFormat="1" applyFont="1" applyBorder="1" applyAlignment="1">
      <alignment horizontal="center" vertical="center" shrinkToFit="1"/>
    </xf>
    <xf numFmtId="176" fontId="22" fillId="0" borderId="1" xfId="0" applyNumberFormat="1" applyFont="1" applyBorder="1" applyAlignment="1">
      <alignment horizontal="center" vertical="center" shrinkToFit="1"/>
    </xf>
    <xf numFmtId="0" fontId="27" fillId="0" borderId="1" xfId="0" applyFont="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Border="1" applyAlignment="1">
      <alignment horizontal="center" vertical="center" wrapText="1"/>
    </xf>
    <xf numFmtId="176" fontId="27" fillId="0" borderId="1" xfId="0" applyNumberFormat="1" applyFont="1" applyBorder="1" applyAlignment="1">
      <alignment horizontal="center" vertical="center"/>
    </xf>
    <xf numFmtId="178" fontId="27" fillId="0" borderId="1" xfId="0" applyNumberFormat="1" applyFont="1" applyBorder="1" applyAlignment="1">
      <alignment horizontal="center" vertical="center" shrinkToFit="1"/>
    </xf>
    <xf numFmtId="178" fontId="27"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shrinkToFit="1"/>
    </xf>
    <xf numFmtId="178" fontId="10" fillId="0" borderId="1" xfId="0" applyNumberFormat="1" applyFont="1" applyFill="1" applyBorder="1" applyAlignment="1">
      <alignment horizontal="center" vertical="center" shrinkToFit="1"/>
    </xf>
    <xf numFmtId="176" fontId="27" fillId="0" borderId="1" xfId="0" applyNumberFormat="1" applyFont="1" applyBorder="1" applyAlignment="1">
      <alignment horizontal="center" vertical="center" shrinkToFit="1"/>
    </xf>
    <xf numFmtId="0" fontId="27" fillId="0" borderId="1" xfId="0" applyFont="1" applyBorder="1" applyAlignment="1">
      <alignment horizontal="center" vertical="center"/>
    </xf>
    <xf numFmtId="0" fontId="22" fillId="0" borderId="1" xfId="0" applyFont="1" applyBorder="1" applyAlignment="1">
      <alignment horizontal="left" vertical="center"/>
    </xf>
    <xf numFmtId="0" fontId="28" fillId="0" borderId="1" xfId="0" applyFont="1" applyBorder="1" applyAlignment="1">
      <alignment horizontal="left" vertical="center" wrapText="1"/>
    </xf>
    <xf numFmtId="0" fontId="27" fillId="0" borderId="1" xfId="0" applyFont="1" applyBorder="1" applyAlignment="1">
      <alignment horizontal="left" vertical="center" wrapText="1"/>
    </xf>
    <xf numFmtId="0" fontId="22" fillId="0" borderId="1" xfId="0" applyFont="1" applyBorder="1" applyAlignment="1">
      <alignment horizontal="left" vertical="center" wrapText="1"/>
    </xf>
    <xf numFmtId="179" fontId="27" fillId="0" borderId="1" xfId="0" applyNumberFormat="1" applyFont="1" applyBorder="1" applyAlignment="1">
      <alignment vertical="center" wrapText="1"/>
    </xf>
    <xf numFmtId="177" fontId="7"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176" fontId="22" fillId="0" borderId="1" xfId="0" applyNumberFormat="1" applyFont="1" applyFill="1" applyBorder="1" applyAlignment="1">
      <alignment horizontal="center" vertical="center"/>
    </xf>
    <xf numFmtId="178" fontId="22" fillId="0" borderId="1" xfId="0" applyNumberFormat="1" applyFont="1" applyFill="1" applyBorder="1" applyAlignment="1">
      <alignment horizontal="center" vertical="center" shrinkToFit="1"/>
    </xf>
    <xf numFmtId="178" fontId="22" fillId="0" borderId="1" xfId="0"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shrinkToFit="1"/>
    </xf>
    <xf numFmtId="176" fontId="22" fillId="0" borderId="1"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xf>
    <xf numFmtId="10" fontId="22" fillId="0" borderId="1" xfId="3" applyNumberFormat="1" applyFont="1" applyFill="1" applyBorder="1" applyAlignment="1">
      <alignment horizontal="center" vertical="center" shrinkToFit="1"/>
    </xf>
    <xf numFmtId="10" fontId="22" fillId="0" borderId="1" xfId="3" applyNumberFormat="1" applyFont="1" applyFill="1" applyBorder="1" applyAlignment="1">
      <alignment horizontal="center" vertical="center" wrapText="1"/>
    </xf>
    <xf numFmtId="10" fontId="7" fillId="0" borderId="1" xfId="3" applyNumberFormat="1" applyFont="1" applyFill="1" applyBorder="1" applyAlignment="1">
      <alignment horizontal="center" vertical="center" shrinkToFit="1"/>
    </xf>
    <xf numFmtId="10" fontId="25" fillId="0" borderId="1" xfId="3" applyNumberFormat="1" applyFont="1" applyFill="1" applyBorder="1" applyAlignment="1">
      <alignment horizontal="center" vertical="center" shrinkToFit="1"/>
    </xf>
    <xf numFmtId="177" fontId="7" fillId="6" borderId="1"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27" fillId="6" borderId="1" xfId="0" applyFont="1" applyFill="1" applyBorder="1" applyAlignment="1">
      <alignment horizontal="center" vertical="center"/>
    </xf>
    <xf numFmtId="0" fontId="29" fillId="0" borderId="1" xfId="0" applyFont="1" applyBorder="1" applyAlignment="1">
      <alignment horizontal="left" vertical="center" wrapText="1"/>
    </xf>
    <xf numFmtId="177" fontId="22"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xf>
    <xf numFmtId="10" fontId="22" fillId="0" borderId="1" xfId="3" applyNumberFormat="1" applyFont="1" applyBorder="1" applyAlignment="1">
      <alignment horizontal="center" vertical="center" shrinkToFit="1"/>
    </xf>
    <xf numFmtId="10" fontId="22" fillId="0" borderId="1" xfId="3" applyNumberFormat="1" applyFont="1" applyBorder="1" applyAlignment="1">
      <alignment horizontal="center" vertical="center" wrapText="1"/>
    </xf>
    <xf numFmtId="10" fontId="7" fillId="0" borderId="1" xfId="3" applyNumberFormat="1" applyFont="1" applyBorder="1" applyAlignment="1">
      <alignment horizontal="center" vertical="center" shrinkToFit="1"/>
    </xf>
    <xf numFmtId="0" fontId="26" fillId="6" borderId="1" xfId="0" applyFont="1" applyFill="1" applyBorder="1" applyAlignment="1">
      <alignment horizontal="center" vertical="center" wrapText="1"/>
    </xf>
    <xf numFmtId="0" fontId="28" fillId="6" borderId="1" xfId="0" applyFont="1" applyFill="1" applyBorder="1" applyAlignment="1">
      <alignment horizontal="left" vertical="center" wrapText="1"/>
    </xf>
    <xf numFmtId="0" fontId="28" fillId="6" borderId="1" xfId="0" applyFont="1" applyFill="1" applyBorder="1" applyAlignment="1">
      <alignment horizontal="center" vertical="center" wrapText="1"/>
    </xf>
    <xf numFmtId="176" fontId="27" fillId="6" borderId="1" xfId="0" applyNumberFormat="1" applyFont="1" applyFill="1" applyBorder="1" applyAlignment="1">
      <alignment horizontal="center" vertical="center"/>
    </xf>
    <xf numFmtId="178" fontId="27" fillId="6" borderId="1" xfId="0" applyNumberFormat="1" applyFont="1" applyFill="1" applyBorder="1" applyAlignment="1">
      <alignment horizontal="center" vertical="center" shrinkToFit="1"/>
    </xf>
    <xf numFmtId="178" fontId="27" fillId="6" borderId="1" xfId="0" applyNumberFormat="1" applyFont="1" applyFill="1" applyBorder="1" applyAlignment="1">
      <alignment horizontal="center" vertical="center" wrapText="1"/>
    </xf>
    <xf numFmtId="178" fontId="8" fillId="6" borderId="1" xfId="0" applyNumberFormat="1" applyFont="1" applyFill="1" applyBorder="1" applyAlignment="1">
      <alignment horizontal="center" vertical="center" shrinkToFit="1"/>
    </xf>
    <xf numFmtId="176" fontId="27" fillId="0" borderId="1" xfId="0" applyNumberFormat="1" applyFont="1" applyBorder="1" applyAlignment="1">
      <alignment horizontal="center" vertical="center" wrapText="1"/>
    </xf>
    <xf numFmtId="10" fontId="27" fillId="0" borderId="1" xfId="3" applyNumberFormat="1" applyFont="1" applyBorder="1" applyAlignment="1">
      <alignment horizontal="center" vertical="center" shrinkToFit="1"/>
    </xf>
    <xf numFmtId="10" fontId="27" fillId="0" borderId="1" xfId="3" applyNumberFormat="1" applyFont="1" applyBorder="1" applyAlignment="1">
      <alignment horizontal="center" vertical="center" wrapText="1"/>
    </xf>
    <xf numFmtId="10" fontId="8" fillId="0" borderId="1" xfId="3" applyNumberFormat="1" applyFont="1" applyBorder="1" applyAlignment="1">
      <alignment horizontal="center" vertical="center" shrinkToFit="1"/>
    </xf>
    <xf numFmtId="10" fontId="10" fillId="0" borderId="1" xfId="3" applyNumberFormat="1" applyFont="1" applyFill="1" applyBorder="1" applyAlignment="1">
      <alignment horizontal="center" vertical="center" shrinkToFit="1"/>
    </xf>
    <xf numFmtId="0" fontId="27" fillId="6" borderId="1" xfId="0" applyFont="1" applyFill="1" applyBorder="1" applyAlignment="1">
      <alignment horizontal="center" vertical="center" wrapText="1"/>
    </xf>
    <xf numFmtId="0" fontId="19" fillId="0" borderId="1" xfId="0" applyFont="1" applyBorder="1" applyAlignment="1">
      <alignment horizontal="center" vertical="center" wrapText="1"/>
    </xf>
    <xf numFmtId="178" fontId="19" fillId="0" borderId="1" xfId="0" applyNumberFormat="1" applyFont="1" applyBorder="1" applyAlignment="1">
      <alignment horizontal="center" vertical="center" wrapText="1"/>
    </xf>
    <xf numFmtId="178" fontId="11" fillId="0" borderId="1" xfId="0" applyNumberFormat="1" applyFont="1" applyBorder="1" applyAlignment="1">
      <alignment horizontal="center" vertical="center" wrapText="1"/>
    </xf>
    <xf numFmtId="178" fontId="30" fillId="0" borderId="1" xfId="0" applyNumberFormat="1" applyFont="1" applyFill="1" applyBorder="1" applyAlignment="1">
      <alignment horizontal="center" vertical="center" wrapText="1"/>
    </xf>
    <xf numFmtId="178" fontId="19" fillId="0" borderId="1" xfId="0" applyNumberFormat="1" applyFont="1" applyBorder="1" applyAlignment="1">
      <alignment horizontal="left" vertical="center" wrapText="1"/>
    </xf>
    <xf numFmtId="178" fontId="11" fillId="0" borderId="1" xfId="0" applyNumberFormat="1" applyFont="1" applyBorder="1" applyAlignment="1">
      <alignment horizontal="left" vertical="center" wrapText="1"/>
    </xf>
    <xf numFmtId="178" fontId="30" fillId="0" borderId="1" xfId="0" applyNumberFormat="1"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10" xfId="50"/>
    <cellStyle name="Normal" xfId="51"/>
    <cellStyle name="常规 3" xfId="52"/>
    <cellStyle name="常规 4 17 3" xfId="53"/>
    <cellStyle name="常规 10 10" xfId="54"/>
  </cellStyles>
  <tableStyles count="0" defaultTableStyle="TableStyleMedium2" defaultPivotStyle="PivotStyleLight16"/>
  <colors>
    <mruColors>
      <color rgb="00D6F0FD"/>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J59"/>
  <sheetViews>
    <sheetView view="pageBreakPreview" zoomScaleNormal="100" workbookViewId="0">
      <pane xSplit="6" ySplit="5" topLeftCell="Z14" activePane="bottomRight" state="frozen"/>
      <selection/>
      <selection pane="topRight"/>
      <selection pane="bottomLeft"/>
      <selection pane="bottomRight" activeCell="AB25" sqref="AB25"/>
    </sheetView>
  </sheetViews>
  <sheetFormatPr defaultColWidth="8.89166666666667" defaultRowHeight="13.5"/>
  <cols>
    <col min="1" max="1" width="6" style="87" customWidth="1"/>
    <col min="2" max="2" width="22" style="88" customWidth="1"/>
    <col min="3" max="3" width="79.1333333333333" style="88" customWidth="1" outlineLevel="1"/>
    <col min="4" max="4" width="24.2333333333333" style="88" customWidth="1" outlineLevel="1"/>
    <col min="5" max="5" width="7.725" style="88" customWidth="1"/>
    <col min="6" max="6" width="9.38333333333333" style="89" customWidth="1"/>
    <col min="7" max="7" width="7.275" style="90" customWidth="1"/>
    <col min="8" max="8" width="12.3333333333333" style="90" customWidth="1" outlineLevel="1"/>
    <col min="9" max="9" width="7.275" style="90" customWidth="1"/>
    <col min="10" max="10" width="13.5583333333333" style="90" customWidth="1" outlineLevel="1"/>
    <col min="11" max="11" width="7.275" style="90" customWidth="1"/>
    <col min="12" max="12" width="16.4416666666667" style="90" customWidth="1" outlineLevel="1"/>
    <col min="13" max="13" width="7.275" style="90" customWidth="1"/>
    <col min="14" max="14" width="16.4416666666667" style="90" customWidth="1" outlineLevel="1"/>
    <col min="15" max="15" width="7.275" style="90" customWidth="1"/>
    <col min="16" max="16" width="16.4416666666667" style="90" customWidth="1" outlineLevel="1"/>
    <col min="17" max="17" width="7.275" style="90" customWidth="1"/>
    <col min="18" max="18" width="15.3833333333333" style="90" customWidth="1" outlineLevel="1"/>
    <col min="19" max="19" width="7.275" style="91" customWidth="1"/>
    <col min="20" max="20" width="16.4416666666667" style="90" customWidth="1" outlineLevel="1"/>
    <col min="21" max="21" width="7.275" style="91" customWidth="1"/>
    <col min="22" max="22" width="16.4416666666667" style="90" customWidth="1" outlineLevel="1"/>
    <col min="23" max="23" width="7.275" style="90" customWidth="1"/>
    <col min="24" max="24" width="13.2333333333333" style="90" customWidth="1" outlineLevel="1"/>
    <col min="25" max="25" width="7.275" style="90" customWidth="1"/>
    <col min="26" max="26" width="15.8833333333333" style="90" customWidth="1" outlineLevel="1"/>
    <col min="27" max="27" width="13.325" style="92" customWidth="1"/>
    <col min="28" max="28" width="20.2583333333333" style="90" customWidth="1" outlineLevel="1"/>
    <col min="29" max="29" width="12.5583333333333" style="90" customWidth="1" outlineLevel="2"/>
    <col min="30" max="30" width="17.2083333333333" style="90" customWidth="1" outlineLevel="2"/>
    <col min="31" max="31" width="10.6333333333333" style="89" customWidth="1"/>
    <col min="32" max="32" width="18.2583333333333" style="89" customWidth="1"/>
    <col min="33" max="33" width="19.7" style="88" customWidth="1"/>
    <col min="34" max="16384" width="8.89166666666667" style="13"/>
  </cols>
  <sheetData>
    <row r="1" s="9" customFormat="1" ht="25" customHeight="1" spans="1:36">
      <c r="A1" s="93" t="s">
        <v>0</v>
      </c>
      <c r="B1" s="94"/>
      <c r="C1" s="94"/>
      <c r="D1" s="94"/>
      <c r="E1" s="94"/>
      <c r="F1" s="95"/>
      <c r="G1" s="96"/>
      <c r="H1" s="96"/>
      <c r="I1" s="96"/>
      <c r="J1" s="96"/>
      <c r="K1" s="96"/>
      <c r="L1" s="96"/>
      <c r="M1" s="96"/>
      <c r="N1" s="96"/>
      <c r="O1" s="96"/>
      <c r="P1" s="96"/>
      <c r="Q1" s="96"/>
      <c r="R1" s="96"/>
      <c r="S1" s="97"/>
      <c r="T1" s="96"/>
      <c r="U1" s="97"/>
      <c r="V1" s="96"/>
      <c r="W1" s="96"/>
      <c r="X1" s="96"/>
      <c r="Y1" s="96"/>
      <c r="Z1" s="96"/>
      <c r="AA1" s="98"/>
      <c r="AB1" s="96"/>
      <c r="AC1" s="96"/>
      <c r="AD1" s="96"/>
      <c r="AE1" s="95"/>
      <c r="AF1" s="95"/>
      <c r="AG1" s="94"/>
    </row>
    <row r="2" s="10" customFormat="1" ht="23" customHeight="1" spans="1:36">
      <c r="A2" s="99" t="s">
        <v>1</v>
      </c>
      <c r="B2" s="100"/>
      <c r="C2" s="101"/>
      <c r="D2" s="101"/>
      <c r="E2" s="101"/>
      <c r="F2" s="102"/>
      <c r="G2" s="103"/>
      <c r="H2" s="103"/>
      <c r="I2" s="103"/>
      <c r="J2" s="103"/>
      <c r="K2" s="103"/>
      <c r="L2" s="103"/>
      <c r="M2" s="103"/>
      <c r="N2" s="103"/>
      <c r="O2" s="103"/>
      <c r="P2" s="103"/>
      <c r="Q2" s="103"/>
      <c r="R2" s="103"/>
      <c r="S2" s="104"/>
      <c r="T2" s="103"/>
      <c r="U2" s="104"/>
      <c r="V2" s="103"/>
      <c r="W2" s="103"/>
      <c r="X2" s="103"/>
      <c r="Y2" s="103"/>
      <c r="Z2" s="103"/>
      <c r="AA2" s="105"/>
      <c r="AB2" s="103"/>
      <c r="AC2" s="103"/>
      <c r="AD2" s="103"/>
      <c r="AE2" s="102"/>
      <c r="AF2" s="102"/>
      <c r="AG2" s="101"/>
    </row>
    <row r="3" s="10" customFormat="1" ht="33" customHeight="1" collapsed="1" spans="1:36">
      <c r="A3" s="106" t="s">
        <v>2</v>
      </c>
      <c r="B3" s="107" t="s">
        <v>3</v>
      </c>
      <c r="C3" s="107" t="s">
        <v>4</v>
      </c>
      <c r="D3" s="106" t="s">
        <v>5</v>
      </c>
      <c r="E3" s="107" t="s">
        <v>6</v>
      </c>
      <c r="F3" s="108" t="s">
        <v>7</v>
      </c>
      <c r="G3" s="109" t="s">
        <v>8</v>
      </c>
      <c r="H3" s="110"/>
      <c r="I3" s="111" t="s">
        <v>9</v>
      </c>
      <c r="J3" s="111"/>
      <c r="K3" s="112" t="s">
        <v>10</v>
      </c>
      <c r="L3" s="112"/>
      <c r="M3" s="113" t="s">
        <v>11</v>
      </c>
      <c r="N3" s="110"/>
      <c r="O3" s="111" t="s">
        <v>12</v>
      </c>
      <c r="P3" s="111"/>
      <c r="Q3" s="111" t="s">
        <v>13</v>
      </c>
      <c r="R3" s="111"/>
      <c r="S3" s="114" t="s">
        <v>14</v>
      </c>
      <c r="T3" s="111"/>
      <c r="U3" s="112" t="s">
        <v>15</v>
      </c>
      <c r="V3" s="112"/>
      <c r="W3" s="111" t="s">
        <v>16</v>
      </c>
      <c r="X3" s="111"/>
      <c r="Y3" s="111" t="s">
        <v>17</v>
      </c>
      <c r="Z3" s="111"/>
      <c r="AA3" s="115" t="s">
        <v>18</v>
      </c>
      <c r="AB3" s="112"/>
      <c r="AC3" s="116" t="s">
        <v>19</v>
      </c>
      <c r="AD3" s="117"/>
      <c r="AE3" s="118" t="s">
        <v>20</v>
      </c>
      <c r="AF3" s="119"/>
      <c r="AG3" s="120"/>
    </row>
    <row r="4" s="10" customFormat="1" ht="33" hidden="1" customHeight="1" outlineLevel="1" spans="1:36">
      <c r="A4" s="106"/>
      <c r="B4" s="107"/>
      <c r="C4" s="107"/>
      <c r="D4" s="106"/>
      <c r="E4" s="107"/>
      <c r="F4" s="108"/>
      <c r="G4" s="118" t="s">
        <v>21</v>
      </c>
      <c r="H4" s="121"/>
      <c r="I4" s="122" t="s">
        <v>22</v>
      </c>
      <c r="J4" s="123"/>
      <c r="K4" s="122" t="s">
        <v>23</v>
      </c>
      <c r="L4" s="123"/>
      <c r="M4" s="124" t="s">
        <v>24</v>
      </c>
      <c r="N4" s="121"/>
      <c r="O4" s="122" t="s">
        <v>25</v>
      </c>
      <c r="P4" s="123"/>
      <c r="Q4" s="122" t="s">
        <v>26</v>
      </c>
      <c r="R4" s="123"/>
      <c r="S4" s="125" t="s">
        <v>27</v>
      </c>
      <c r="T4" s="123"/>
      <c r="U4" s="122" t="s">
        <v>28</v>
      </c>
      <c r="V4" s="123"/>
      <c r="W4" s="122" t="s">
        <v>29</v>
      </c>
      <c r="X4" s="123"/>
      <c r="Y4" s="122" t="s">
        <v>30</v>
      </c>
      <c r="Z4" s="123"/>
      <c r="AA4" s="126"/>
      <c r="AB4" s="123"/>
      <c r="AC4" s="127" t="s">
        <v>31</v>
      </c>
      <c r="AD4" s="127"/>
      <c r="AE4" s="118"/>
      <c r="AF4" s="119"/>
      <c r="AG4" s="128"/>
    </row>
    <row r="5" s="10" customFormat="1" ht="35" customHeight="1" spans="1:36">
      <c r="A5" s="106"/>
      <c r="B5" s="107"/>
      <c r="C5" s="107"/>
      <c r="D5" s="106"/>
      <c r="E5" s="107"/>
      <c r="F5" s="129"/>
      <c r="G5" s="112" t="s">
        <v>32</v>
      </c>
      <c r="H5" s="112" t="s">
        <v>33</v>
      </c>
      <c r="I5" s="112" t="s">
        <v>32</v>
      </c>
      <c r="J5" s="112" t="s">
        <v>33</v>
      </c>
      <c r="K5" s="112" t="s">
        <v>32</v>
      </c>
      <c r="L5" s="112" t="s">
        <v>33</v>
      </c>
      <c r="M5" s="112" t="s">
        <v>32</v>
      </c>
      <c r="N5" s="112" t="s">
        <v>33</v>
      </c>
      <c r="O5" s="112" t="s">
        <v>32</v>
      </c>
      <c r="P5" s="112" t="s">
        <v>33</v>
      </c>
      <c r="Q5" s="112" t="s">
        <v>32</v>
      </c>
      <c r="R5" s="112" t="s">
        <v>33</v>
      </c>
      <c r="S5" s="130" t="s">
        <v>32</v>
      </c>
      <c r="T5" s="112" t="s">
        <v>33</v>
      </c>
      <c r="U5" s="130" t="s">
        <v>32</v>
      </c>
      <c r="V5" s="112" t="s">
        <v>33</v>
      </c>
      <c r="W5" s="112" t="s">
        <v>32</v>
      </c>
      <c r="X5" s="112" t="s">
        <v>33</v>
      </c>
      <c r="Y5" s="112" t="s">
        <v>32</v>
      </c>
      <c r="Z5" s="112" t="s">
        <v>33</v>
      </c>
      <c r="AA5" s="115" t="s">
        <v>32</v>
      </c>
      <c r="AB5" s="112" t="s">
        <v>33</v>
      </c>
      <c r="AC5" s="131" t="s">
        <v>34</v>
      </c>
      <c r="AD5" s="112" t="s">
        <v>33</v>
      </c>
      <c r="AE5" s="112" t="s">
        <v>32</v>
      </c>
      <c r="AF5" s="112" t="s">
        <v>33</v>
      </c>
      <c r="AG5" s="128" t="s">
        <v>35</v>
      </c>
    </row>
    <row r="6" s="85" customFormat="1" ht="35" customHeight="1" spans="1:36">
      <c r="A6" s="132" t="s">
        <v>36</v>
      </c>
      <c r="B6" s="133" t="s">
        <v>37</v>
      </c>
      <c r="C6" s="133"/>
      <c r="D6" s="132"/>
      <c r="E6" s="133"/>
      <c r="F6" s="134"/>
      <c r="G6" s="135"/>
      <c r="H6" s="135">
        <f t="shared" ref="H6:L6" si="0">H27</f>
        <v>31037591.6893701</v>
      </c>
      <c r="I6" s="135"/>
      <c r="J6" s="135">
        <f t="shared" si="0"/>
        <v>23867249.46696</v>
      </c>
      <c r="K6" s="136"/>
      <c r="L6" s="135">
        <f t="shared" si="0"/>
        <v>19782814.25484</v>
      </c>
      <c r="M6" s="135"/>
      <c r="N6" s="135">
        <f>N27</f>
        <v>19609201.585602</v>
      </c>
      <c r="O6" s="135"/>
      <c r="P6" s="135">
        <f>P27</f>
        <v>18407072.17293</v>
      </c>
      <c r="Q6" s="135"/>
      <c r="R6" s="135">
        <f t="shared" ref="R6:V6" si="1">R27</f>
        <v>14948623.144836</v>
      </c>
      <c r="S6" s="137"/>
      <c r="T6" s="135">
        <f t="shared" si="1"/>
        <v>14376254.2301208</v>
      </c>
      <c r="U6" s="136"/>
      <c r="V6" s="135">
        <f t="shared" si="1"/>
        <v>14784608.43722</v>
      </c>
      <c r="W6" s="135"/>
      <c r="X6" s="135">
        <f>X27</f>
        <v>13382699.5042</v>
      </c>
      <c r="Y6" s="135"/>
      <c r="Z6" s="135">
        <f t="shared" ref="Z6:AD6" si="2">Z27</f>
        <v>11886383.2679</v>
      </c>
      <c r="AA6" s="138"/>
      <c r="AB6" s="135">
        <f t="shared" si="2"/>
        <v>12766539.8041821</v>
      </c>
      <c r="AC6" s="135"/>
      <c r="AD6" s="135">
        <f t="shared" si="2"/>
        <v>12660538.0032</v>
      </c>
      <c r="AE6" s="139"/>
      <c r="AF6" s="135">
        <f>AF27</f>
        <v>13532532.192433</v>
      </c>
      <c r="AG6" s="133"/>
      <c r="AH6" s="140"/>
      <c r="AI6" s="140"/>
      <c r="AJ6" s="140"/>
    </row>
    <row r="7" s="12" customFormat="1" ht="25" customHeight="1" outlineLevel="1" spans="1:36">
      <c r="A7" s="106">
        <v>1</v>
      </c>
      <c r="B7" s="141" t="s">
        <v>38</v>
      </c>
      <c r="C7" s="142"/>
      <c r="D7" s="142"/>
      <c r="E7" s="141"/>
      <c r="F7" s="129"/>
      <c r="G7" s="143"/>
      <c r="H7" s="143">
        <f t="shared" ref="H7:L7" si="3">SUM(H8:H10)</f>
        <v>410893.2</v>
      </c>
      <c r="I7" s="143"/>
      <c r="J7" s="143">
        <f t="shared" si="3"/>
        <v>411510.696</v>
      </c>
      <c r="K7" s="112"/>
      <c r="L7" s="143">
        <f t="shared" si="3"/>
        <v>389102.4</v>
      </c>
      <c r="M7" s="143"/>
      <c r="N7" s="143">
        <f>SUM(N8:N10)</f>
        <v>464172</v>
      </c>
      <c r="O7" s="143"/>
      <c r="P7" s="143">
        <f>SUM(P8:P10)</f>
        <v>147852</v>
      </c>
      <c r="Q7" s="143"/>
      <c r="R7" s="143">
        <f t="shared" ref="R7:V7" si="4">SUM(R8:R10)</f>
        <v>392803.2</v>
      </c>
      <c r="S7" s="144"/>
      <c r="T7" s="143">
        <f t="shared" si="4"/>
        <v>414431.60208</v>
      </c>
      <c r="U7" s="112"/>
      <c r="V7" s="143">
        <f t="shared" si="4"/>
        <v>331048.6848</v>
      </c>
      <c r="W7" s="143"/>
      <c r="X7" s="143">
        <f>SUM(X8:X10)</f>
        <v>340800</v>
      </c>
      <c r="Y7" s="143"/>
      <c r="Z7" s="143">
        <f t="shared" ref="Z7:AD7" si="5">SUM(Z8:Z10)</f>
        <v>339240</v>
      </c>
      <c r="AA7" s="138"/>
      <c r="AB7" s="143">
        <f t="shared" si="5"/>
        <v>326158.003803186</v>
      </c>
      <c r="AC7" s="143"/>
      <c r="AD7" s="143">
        <f t="shared" si="5"/>
        <v>364946.4</v>
      </c>
      <c r="AE7" s="145"/>
      <c r="AF7" s="143">
        <f>SUM(AF8:AF10)</f>
        <v>345727.484031377</v>
      </c>
      <c r="AG7" s="107"/>
    </row>
    <row r="8" s="10" customFormat="1" ht="56" customHeight="1" outlineLevel="2" spans="1:36">
      <c r="A8" s="146">
        <v>1.1</v>
      </c>
      <c r="B8" s="147" t="s">
        <v>39</v>
      </c>
      <c r="C8" s="148" t="s">
        <v>40</v>
      </c>
      <c r="D8" s="148" t="s">
        <v>41</v>
      </c>
      <c r="E8" s="149" t="s">
        <v>42</v>
      </c>
      <c r="F8" s="150">
        <f>0.01*48000/2</f>
        <v>240</v>
      </c>
      <c r="G8" s="151">
        <v>811.364</v>
      </c>
      <c r="H8" s="151">
        <f t="shared" ref="H8:H10" si="6">+$F8*G8</f>
        <v>194727.36</v>
      </c>
      <c r="I8" s="151">
        <v>822.8279</v>
      </c>
      <c r="J8" s="151">
        <f t="shared" ref="J8:J10" si="7">+$F8*I8</f>
        <v>197478.696</v>
      </c>
      <c r="K8" s="152">
        <v>758</v>
      </c>
      <c r="L8" s="151">
        <f t="shared" ref="L8:L10" si="8">+$F8*K8</f>
        <v>181920</v>
      </c>
      <c r="M8" s="151">
        <v>872.66</v>
      </c>
      <c r="N8" s="151">
        <f t="shared" ref="N8:N10" si="9">+$F8*M8</f>
        <v>209438.4</v>
      </c>
      <c r="O8" s="151">
        <v>310.8</v>
      </c>
      <c r="P8" s="151">
        <f>+$F8*O8</f>
        <v>74592</v>
      </c>
      <c r="Q8" s="151">
        <v>809.04</v>
      </c>
      <c r="R8" s="151">
        <f t="shared" ref="R8:R10" si="10">+$F8*Q8</f>
        <v>194169.6</v>
      </c>
      <c r="S8" s="153">
        <v>965.6441</v>
      </c>
      <c r="T8" s="151">
        <f>+$F8*S8</f>
        <v>231754.584</v>
      </c>
      <c r="U8" s="152">
        <v>645.8672</v>
      </c>
      <c r="V8" s="151">
        <f t="shared" ref="V8:V10" si="11">+$F8*U8</f>
        <v>155008.128</v>
      </c>
      <c r="W8" s="151">
        <v>680</v>
      </c>
      <c r="X8" s="151">
        <f>+$F8*W8</f>
        <v>163200</v>
      </c>
      <c r="Y8" s="151">
        <v>682</v>
      </c>
      <c r="Z8" s="151">
        <f t="shared" ref="Z8:AD8" si="12">+$F8*Y8</f>
        <v>163680</v>
      </c>
      <c r="AA8" s="154">
        <v>646.995353982301</v>
      </c>
      <c r="AB8" s="151">
        <f t="shared" si="12"/>
        <v>155278.884955752</v>
      </c>
      <c r="AC8" s="151">
        <v>684.98</v>
      </c>
      <c r="AD8" s="151">
        <f t="shared" si="12"/>
        <v>164395.2</v>
      </c>
      <c r="AE8" s="155">
        <f t="shared" ref="AE8:AE10" si="13">+AA8*1.06</f>
        <v>685.815075221239</v>
      </c>
      <c r="AF8" s="151">
        <f>+$F8*AE8</f>
        <v>164595.618053097</v>
      </c>
      <c r="AG8" s="156"/>
    </row>
    <row r="9" s="10" customFormat="1" ht="55" customHeight="1" outlineLevel="2" spans="1:36">
      <c r="A9" s="146">
        <v>1.2</v>
      </c>
      <c r="B9" s="147" t="s">
        <v>39</v>
      </c>
      <c r="C9" s="148" t="s">
        <v>43</v>
      </c>
      <c r="D9" s="148" t="s">
        <v>41</v>
      </c>
      <c r="E9" s="149" t="s">
        <v>42</v>
      </c>
      <c r="F9" s="150">
        <f>0.01*48000/2</f>
        <v>240</v>
      </c>
      <c r="G9" s="151">
        <v>754.336</v>
      </c>
      <c r="H9" s="151">
        <f t="shared" si="6"/>
        <v>181040.64</v>
      </c>
      <c r="I9" s="151">
        <v>801.2</v>
      </c>
      <c r="J9" s="151">
        <f t="shared" si="7"/>
        <v>192288</v>
      </c>
      <c r="K9" s="152">
        <v>736</v>
      </c>
      <c r="L9" s="151">
        <f t="shared" si="8"/>
        <v>176640</v>
      </c>
      <c r="M9" s="151">
        <v>922.97</v>
      </c>
      <c r="N9" s="151">
        <f t="shared" si="9"/>
        <v>221512.8</v>
      </c>
      <c r="O9" s="151">
        <v>255.3</v>
      </c>
      <c r="P9" s="151">
        <f>+$F9*O9</f>
        <v>61272</v>
      </c>
      <c r="Q9" s="151">
        <v>720.96</v>
      </c>
      <c r="R9" s="151">
        <f t="shared" si="10"/>
        <v>173030.4</v>
      </c>
      <c r="S9" s="153">
        <v>656.778308</v>
      </c>
      <c r="T9" s="151">
        <f>+$F9*S9</f>
        <v>157626.79392</v>
      </c>
      <c r="U9" s="152">
        <v>638.42392</v>
      </c>
      <c r="V9" s="151">
        <f t="shared" si="11"/>
        <v>153221.7408</v>
      </c>
      <c r="W9" s="151">
        <v>650</v>
      </c>
      <c r="X9" s="151">
        <f>+$F9*W9</f>
        <v>156000</v>
      </c>
      <c r="Y9" s="151">
        <v>646</v>
      </c>
      <c r="Z9" s="151">
        <f t="shared" ref="Z9:AD9" si="14">+$F9*Y9</f>
        <v>155040</v>
      </c>
      <c r="AA9" s="154">
        <v>633.995956849558</v>
      </c>
      <c r="AB9" s="151">
        <f t="shared" si="14"/>
        <v>152159.029643894</v>
      </c>
      <c r="AC9" s="151">
        <v>754.06</v>
      </c>
      <c r="AD9" s="151">
        <f t="shared" si="14"/>
        <v>180974.4</v>
      </c>
      <c r="AE9" s="155">
        <f t="shared" si="13"/>
        <v>672.035714260531</v>
      </c>
      <c r="AF9" s="151">
        <f>+$F9*AE9</f>
        <v>161288.571422528</v>
      </c>
      <c r="AG9" s="156"/>
    </row>
    <row r="10" s="10" customFormat="1" ht="55" customHeight="1" outlineLevel="2" spans="1:36">
      <c r="A10" s="146">
        <v>1.3</v>
      </c>
      <c r="B10" s="147" t="s">
        <v>44</v>
      </c>
      <c r="C10" s="148" t="s">
        <v>45</v>
      </c>
      <c r="D10" s="148" t="s">
        <v>46</v>
      </c>
      <c r="E10" s="149" t="s">
        <v>47</v>
      </c>
      <c r="F10" s="150">
        <f>F8*3</f>
        <v>720</v>
      </c>
      <c r="G10" s="151">
        <v>48.785</v>
      </c>
      <c r="H10" s="151">
        <f t="shared" si="6"/>
        <v>35125.2</v>
      </c>
      <c r="I10" s="151">
        <v>30.2</v>
      </c>
      <c r="J10" s="151">
        <f t="shared" si="7"/>
        <v>21744</v>
      </c>
      <c r="K10" s="152">
        <v>42.42</v>
      </c>
      <c r="L10" s="151">
        <f t="shared" si="8"/>
        <v>30542.4</v>
      </c>
      <c r="M10" s="151">
        <v>46.14</v>
      </c>
      <c r="N10" s="151">
        <f t="shared" si="9"/>
        <v>33220.8</v>
      </c>
      <c r="O10" s="151">
        <v>16.65</v>
      </c>
      <c r="P10" s="151">
        <f>+$F10*O10</f>
        <v>11988</v>
      </c>
      <c r="Q10" s="151">
        <v>35.56</v>
      </c>
      <c r="R10" s="151">
        <f t="shared" si="10"/>
        <v>25603.2</v>
      </c>
      <c r="S10" s="153">
        <v>34.791978</v>
      </c>
      <c r="T10" s="151">
        <f>+$F10*S10</f>
        <v>25050.22416</v>
      </c>
      <c r="U10" s="152">
        <v>31.6928</v>
      </c>
      <c r="V10" s="151">
        <f t="shared" si="11"/>
        <v>22818.816</v>
      </c>
      <c r="W10" s="151">
        <v>30</v>
      </c>
      <c r="X10" s="151">
        <f>+$F10*W10</f>
        <v>21600</v>
      </c>
      <c r="Y10" s="151">
        <v>28.5</v>
      </c>
      <c r="Z10" s="151">
        <f t="shared" ref="Z10:AD10" si="15">+$F10*Y10</f>
        <v>20520</v>
      </c>
      <c r="AA10" s="154">
        <v>26.0001238938053</v>
      </c>
      <c r="AB10" s="151">
        <f t="shared" si="15"/>
        <v>18720.0892035398</v>
      </c>
      <c r="AC10" s="151">
        <v>27.19</v>
      </c>
      <c r="AD10" s="151">
        <f t="shared" si="15"/>
        <v>19576.8</v>
      </c>
      <c r="AE10" s="155">
        <f t="shared" si="13"/>
        <v>27.5601313274336</v>
      </c>
      <c r="AF10" s="151">
        <f>+$F10*AE10</f>
        <v>19843.2945557522</v>
      </c>
      <c r="AG10" s="156"/>
    </row>
    <row r="11" s="12" customFormat="1" ht="25" customHeight="1" outlineLevel="1" spans="1:36">
      <c r="A11" s="106">
        <v>2</v>
      </c>
      <c r="B11" s="107" t="s">
        <v>48</v>
      </c>
      <c r="C11" s="157"/>
      <c r="D11" s="106"/>
      <c r="E11" s="107"/>
      <c r="F11" s="129"/>
      <c r="G11" s="143"/>
      <c r="H11" s="143">
        <f t="shared" ref="H11:L11" si="16">SUM(H12:H16)</f>
        <v>12481678.12089</v>
      </c>
      <c r="I11" s="143"/>
      <c r="J11" s="143">
        <f t="shared" si="16"/>
        <v>11703768.448</v>
      </c>
      <c r="K11" s="112"/>
      <c r="L11" s="143">
        <f t="shared" si="16"/>
        <v>8390898.476</v>
      </c>
      <c r="M11" s="143"/>
      <c r="N11" s="143">
        <f>SUM(N12:N16)</f>
        <v>10152793.1978</v>
      </c>
      <c r="O11" s="143"/>
      <c r="P11" s="143">
        <f>SUM(P12:P16)</f>
        <v>7671810.177</v>
      </c>
      <c r="Q11" s="143"/>
      <c r="R11" s="143">
        <f t="shared" ref="R11:V11" si="17">SUM(R12:R16)</f>
        <v>7834799.9604</v>
      </c>
      <c r="S11" s="144"/>
      <c r="T11" s="143">
        <f t="shared" si="17"/>
        <v>9286887.10187802</v>
      </c>
      <c r="U11" s="112"/>
      <c r="V11" s="143">
        <f t="shared" si="17"/>
        <v>9192176.0892</v>
      </c>
      <c r="W11" s="143"/>
      <c r="X11" s="143">
        <f>SUM(X12:X16)</f>
        <v>6619912.14</v>
      </c>
      <c r="Y11" s="143"/>
      <c r="Z11" s="143">
        <f t="shared" ref="Z11:AD11" si="18">SUM(Z12:Z16)</f>
        <v>5925537.93</v>
      </c>
      <c r="AA11" s="138"/>
      <c r="AB11" s="143">
        <f t="shared" si="18"/>
        <v>6309225.50398686</v>
      </c>
      <c r="AC11" s="143"/>
      <c r="AD11" s="143">
        <f t="shared" si="18"/>
        <v>11250226.08</v>
      </c>
      <c r="AE11" s="145"/>
      <c r="AF11" s="143">
        <f>SUM(AF12:AF16)</f>
        <v>6687779.03422607</v>
      </c>
      <c r="AG11" s="107"/>
    </row>
    <row r="12" s="10" customFormat="1" ht="49" customHeight="1" outlineLevel="2" spans="1:36">
      <c r="A12" s="146">
        <v>2.1</v>
      </c>
      <c r="B12" s="149" t="s">
        <v>49</v>
      </c>
      <c r="C12" s="158" t="s">
        <v>50</v>
      </c>
      <c r="D12" s="159" t="s">
        <v>51</v>
      </c>
      <c r="E12" s="156" t="s">
        <v>52</v>
      </c>
      <c r="F12" s="150">
        <f>0.12*48000</f>
        <v>5760</v>
      </c>
      <c r="G12" s="151">
        <v>100.12575</v>
      </c>
      <c r="H12" s="151">
        <f t="shared" ref="H12:H16" si="19">+$F12*G12</f>
        <v>576724.32</v>
      </c>
      <c r="I12" s="151">
        <v>109.88</v>
      </c>
      <c r="J12" s="151">
        <f t="shared" ref="J12:J16" si="20">+$F12*I12</f>
        <v>632908.8</v>
      </c>
      <c r="K12" s="152">
        <v>51.49</v>
      </c>
      <c r="L12" s="151">
        <f t="shared" ref="L12:L16" si="21">+$F12*K12</f>
        <v>296582.4</v>
      </c>
      <c r="M12" s="151">
        <v>74.98</v>
      </c>
      <c r="N12" s="151">
        <f t="shared" ref="N12:N16" si="22">+$F12*M12</f>
        <v>431884.8</v>
      </c>
      <c r="O12" s="151">
        <v>74.1</v>
      </c>
      <c r="P12" s="151">
        <f>+$F12*O12</f>
        <v>426816</v>
      </c>
      <c r="Q12" s="151">
        <v>73</v>
      </c>
      <c r="R12" s="151">
        <f t="shared" ref="R12:R16" si="23">+$F12*Q12</f>
        <v>420480</v>
      </c>
      <c r="S12" s="153">
        <v>79.335398</v>
      </c>
      <c r="T12" s="151">
        <f>+$F12*S12</f>
        <v>456971.89248</v>
      </c>
      <c r="U12" s="152">
        <v>89.34</v>
      </c>
      <c r="V12" s="151">
        <f t="shared" ref="V12:V16" si="24">+$F12*U12</f>
        <v>514598.4</v>
      </c>
      <c r="W12" s="151">
        <v>58</v>
      </c>
      <c r="X12" s="151">
        <f>+$F12*W12</f>
        <v>334080</v>
      </c>
      <c r="Y12" s="151">
        <v>58</v>
      </c>
      <c r="Z12" s="151">
        <f t="shared" ref="Z12:AD12" si="25">+$F12*Y12</f>
        <v>334080</v>
      </c>
      <c r="AA12" s="154">
        <v>54.0036169936397</v>
      </c>
      <c r="AB12" s="151">
        <f t="shared" si="25"/>
        <v>311060.833883365</v>
      </c>
      <c r="AC12" s="151">
        <v>66.6133732638889</v>
      </c>
      <c r="AD12" s="151">
        <f t="shared" si="25"/>
        <v>383693.03</v>
      </c>
      <c r="AE12" s="155">
        <f t="shared" ref="AE12:AE16" si="26">+AA12*1.06</f>
        <v>57.2438340132581</v>
      </c>
      <c r="AF12" s="151">
        <f>+$F12*AE12</f>
        <v>329724.483916367</v>
      </c>
      <c r="AG12" s="156"/>
    </row>
    <row r="13" s="10" customFormat="1" ht="49" customHeight="1" outlineLevel="2" spans="1:36">
      <c r="A13" s="146">
        <v>2.5</v>
      </c>
      <c r="B13" s="149" t="s">
        <v>53</v>
      </c>
      <c r="C13" s="158"/>
      <c r="D13" s="159"/>
      <c r="E13" s="156" t="s">
        <v>52</v>
      </c>
      <c r="F13" s="150">
        <v>15096.77</v>
      </c>
      <c r="G13" s="151">
        <v>125.90675</v>
      </c>
      <c r="H13" s="151">
        <f t="shared" si="19"/>
        <v>1900785.2461975</v>
      </c>
      <c r="I13" s="151">
        <v>109.88</v>
      </c>
      <c r="J13" s="151">
        <f t="shared" si="20"/>
        <v>1658833.0876</v>
      </c>
      <c r="K13" s="152">
        <v>56.99</v>
      </c>
      <c r="L13" s="151">
        <f t="shared" si="21"/>
        <v>860364.9223</v>
      </c>
      <c r="M13" s="151">
        <v>87.37</v>
      </c>
      <c r="N13" s="151">
        <f t="shared" si="22"/>
        <v>1319004.7949</v>
      </c>
      <c r="O13" s="151">
        <v>79.8</v>
      </c>
      <c r="P13" s="151">
        <f>+$F13*O13</f>
        <v>1204722.246</v>
      </c>
      <c r="Q13" s="151">
        <v>73.35</v>
      </c>
      <c r="R13" s="151">
        <f t="shared" si="23"/>
        <v>1107348.0795</v>
      </c>
      <c r="S13" s="153">
        <v>102.340534</v>
      </c>
      <c r="T13" s="151">
        <f>+$F13*S13</f>
        <v>1545011.50347518</v>
      </c>
      <c r="U13" s="152">
        <v>89.34</v>
      </c>
      <c r="V13" s="151">
        <f t="shared" si="24"/>
        <v>1348745.4318</v>
      </c>
      <c r="W13" s="151">
        <v>90</v>
      </c>
      <c r="X13" s="151">
        <f>+$F13*W13</f>
        <v>1358709.3</v>
      </c>
      <c r="Y13" s="151">
        <v>86</v>
      </c>
      <c r="Z13" s="151">
        <f t="shared" ref="Z13:AD13" si="27">+$F13*Y13</f>
        <v>1298322.22</v>
      </c>
      <c r="AA13" s="154">
        <v>75.3026274</v>
      </c>
      <c r="AB13" s="151">
        <f t="shared" si="27"/>
        <v>1136826.4462535</v>
      </c>
      <c r="AC13" s="151">
        <v>88.2837991172946</v>
      </c>
      <c r="AD13" s="151">
        <f t="shared" si="27"/>
        <v>1332800.21</v>
      </c>
      <c r="AE13" s="155">
        <f t="shared" si="26"/>
        <v>79.820785044</v>
      </c>
      <c r="AF13" s="151">
        <f>+$F13*AE13</f>
        <v>1205036.03302871</v>
      </c>
      <c r="AG13" s="156"/>
    </row>
    <row r="14" s="10" customFormat="1" ht="49" customHeight="1" outlineLevel="2" spans="1:36">
      <c r="A14" s="146">
        <v>2.6</v>
      </c>
      <c r="B14" s="149" t="s">
        <v>54</v>
      </c>
      <c r="C14" s="158"/>
      <c r="D14" s="159"/>
      <c r="E14" s="156" t="s">
        <v>52</v>
      </c>
      <c r="F14" s="150">
        <v>54348.39</v>
      </c>
      <c r="G14" s="151">
        <v>124.83375</v>
      </c>
      <c r="H14" s="151">
        <f t="shared" si="19"/>
        <v>6784513.3301625</v>
      </c>
      <c r="I14" s="151">
        <v>116.28</v>
      </c>
      <c r="J14" s="151">
        <f t="shared" si="20"/>
        <v>6319630.7892</v>
      </c>
      <c r="K14" s="152">
        <v>83.39</v>
      </c>
      <c r="L14" s="151">
        <f t="shared" si="21"/>
        <v>4532112.2421</v>
      </c>
      <c r="M14" s="151">
        <v>99.91</v>
      </c>
      <c r="N14" s="151">
        <f t="shared" si="22"/>
        <v>5429947.6449</v>
      </c>
      <c r="O14" s="151">
        <v>74.1</v>
      </c>
      <c r="P14" s="151">
        <f>+$F14*O14</f>
        <v>4027215.699</v>
      </c>
      <c r="Q14" s="151">
        <v>78.83</v>
      </c>
      <c r="R14" s="151">
        <f t="shared" si="23"/>
        <v>4284283.5837</v>
      </c>
      <c r="S14" s="153">
        <v>89.126516</v>
      </c>
      <c r="T14" s="151">
        <f>+$F14*S14</f>
        <v>4843882.65090924</v>
      </c>
      <c r="U14" s="152">
        <v>91.46</v>
      </c>
      <c r="V14" s="151">
        <f t="shared" si="24"/>
        <v>4970703.7494</v>
      </c>
      <c r="W14" s="151">
        <v>60</v>
      </c>
      <c r="X14" s="151">
        <f>+$F14*W14</f>
        <v>3260903.4</v>
      </c>
      <c r="Y14" s="151">
        <v>53</v>
      </c>
      <c r="Z14" s="151">
        <f t="shared" ref="Z14:AD14" si="28">+$F14*Y14</f>
        <v>2880464.67</v>
      </c>
      <c r="AA14" s="154">
        <v>59.995</v>
      </c>
      <c r="AB14" s="151">
        <f t="shared" si="28"/>
        <v>3260631.65805</v>
      </c>
      <c r="AC14" s="151">
        <v>103.949799984875</v>
      </c>
      <c r="AD14" s="151">
        <f t="shared" si="28"/>
        <v>5649504.26999998</v>
      </c>
      <c r="AE14" s="155">
        <f t="shared" si="26"/>
        <v>63.5947</v>
      </c>
      <c r="AF14" s="151">
        <f>+$F14*AE14</f>
        <v>3456269.557533</v>
      </c>
      <c r="AG14" s="156"/>
    </row>
    <row r="15" s="10" customFormat="1" ht="49" customHeight="1" outlineLevel="2" spans="1:36">
      <c r="A15" s="146">
        <v>2.7</v>
      </c>
      <c r="B15" s="149" t="s">
        <v>55</v>
      </c>
      <c r="C15" s="158"/>
      <c r="D15" s="159"/>
      <c r="E15" s="156" t="s">
        <v>52</v>
      </c>
      <c r="F15" s="150">
        <v>24154.84</v>
      </c>
      <c r="G15" s="151">
        <v>127.76075</v>
      </c>
      <c r="H15" s="151">
        <f t="shared" si="19"/>
        <v>3086040.47453</v>
      </c>
      <c r="I15" s="151">
        <v>122.68</v>
      </c>
      <c r="J15" s="151">
        <f t="shared" si="20"/>
        <v>2963315.7712</v>
      </c>
      <c r="K15" s="152">
        <v>106.49</v>
      </c>
      <c r="L15" s="151">
        <f t="shared" si="21"/>
        <v>2572248.9116</v>
      </c>
      <c r="M15" s="151">
        <v>117.45</v>
      </c>
      <c r="N15" s="151">
        <f t="shared" si="22"/>
        <v>2836985.958</v>
      </c>
      <c r="O15" s="151">
        <v>79.8</v>
      </c>
      <c r="P15" s="151">
        <f>+$F15*O15</f>
        <v>1927556.232</v>
      </c>
      <c r="Q15" s="151">
        <v>80.33</v>
      </c>
      <c r="R15" s="151">
        <f t="shared" si="23"/>
        <v>1940358.2972</v>
      </c>
      <c r="S15" s="153">
        <v>96.73554</v>
      </c>
      <c r="T15" s="151">
        <f>+$F15*S15</f>
        <v>2336631.4910136</v>
      </c>
      <c r="U15" s="152">
        <v>93.7</v>
      </c>
      <c r="V15" s="151">
        <f t="shared" si="24"/>
        <v>2263308.508</v>
      </c>
      <c r="W15" s="151">
        <v>66</v>
      </c>
      <c r="X15" s="151">
        <f>+$F15*W15</f>
        <v>1594219.44</v>
      </c>
      <c r="Y15" s="151">
        <v>56</v>
      </c>
      <c r="Z15" s="151">
        <f t="shared" ref="Z15:AD15" si="29">+$F15*Y15</f>
        <v>1352671.04</v>
      </c>
      <c r="AA15" s="154">
        <v>63.495</v>
      </c>
      <c r="AB15" s="151">
        <f t="shared" si="29"/>
        <v>1533711.5658</v>
      </c>
      <c r="AC15" s="151">
        <v>153.643599792009</v>
      </c>
      <c r="AD15" s="151">
        <f t="shared" si="29"/>
        <v>3711236.57000001</v>
      </c>
      <c r="AE15" s="155">
        <f t="shared" si="26"/>
        <v>67.3047</v>
      </c>
      <c r="AF15" s="151">
        <f>+$F15*AE15</f>
        <v>1625734.259748</v>
      </c>
      <c r="AG15" s="156"/>
    </row>
    <row r="16" s="10" customFormat="1" ht="49" customHeight="1" outlineLevel="2" spans="1:36">
      <c r="A16" s="146">
        <v>2.8</v>
      </c>
      <c r="B16" s="149" t="s">
        <v>56</v>
      </c>
      <c r="C16" s="158"/>
      <c r="D16" s="159"/>
      <c r="E16" s="156" t="s">
        <v>52</v>
      </c>
      <c r="F16" s="150">
        <v>1000</v>
      </c>
      <c r="G16" s="151">
        <v>133.61475</v>
      </c>
      <c r="H16" s="151">
        <f t="shared" si="19"/>
        <v>133614.75</v>
      </c>
      <c r="I16" s="151">
        <v>129.08</v>
      </c>
      <c r="J16" s="151">
        <f t="shared" si="20"/>
        <v>129080</v>
      </c>
      <c r="K16" s="152">
        <v>129.59</v>
      </c>
      <c r="L16" s="151">
        <f t="shared" si="21"/>
        <v>129590</v>
      </c>
      <c r="M16" s="151">
        <v>134.97</v>
      </c>
      <c r="N16" s="151">
        <f t="shared" si="22"/>
        <v>134970</v>
      </c>
      <c r="O16" s="151">
        <v>85.5</v>
      </c>
      <c r="P16" s="151">
        <f>+$F16*O16</f>
        <v>85500</v>
      </c>
      <c r="Q16" s="151">
        <v>82.33</v>
      </c>
      <c r="R16" s="151">
        <f t="shared" si="23"/>
        <v>82330</v>
      </c>
      <c r="S16" s="153">
        <v>104.389564</v>
      </c>
      <c r="T16" s="151">
        <f>+$F16*S16</f>
        <v>104389.564</v>
      </c>
      <c r="U16" s="152">
        <v>94.82</v>
      </c>
      <c r="V16" s="151">
        <f t="shared" si="24"/>
        <v>94820</v>
      </c>
      <c r="W16" s="151">
        <v>72</v>
      </c>
      <c r="X16" s="151">
        <f>+$F16*W16</f>
        <v>72000</v>
      </c>
      <c r="Y16" s="151">
        <v>60</v>
      </c>
      <c r="Z16" s="151">
        <f t="shared" ref="Z16:AD16" si="30">+$F16*Y16</f>
        <v>60000</v>
      </c>
      <c r="AA16" s="154">
        <v>66.995</v>
      </c>
      <c r="AB16" s="151">
        <f t="shared" si="30"/>
        <v>66995</v>
      </c>
      <c r="AC16" s="151">
        <v>172.992</v>
      </c>
      <c r="AD16" s="151">
        <f t="shared" si="30"/>
        <v>172992</v>
      </c>
      <c r="AE16" s="155">
        <f t="shared" si="26"/>
        <v>71.0147</v>
      </c>
      <c r="AF16" s="151">
        <f>+$F16*AE16</f>
        <v>71014.7</v>
      </c>
      <c r="AG16" s="156"/>
    </row>
    <row r="17" s="12" customFormat="1" ht="25" customHeight="1" outlineLevel="1" spans="1:36">
      <c r="A17" s="106">
        <v>3</v>
      </c>
      <c r="B17" s="141" t="s">
        <v>57</v>
      </c>
      <c r="C17" s="142"/>
      <c r="D17" s="160"/>
      <c r="E17" s="107"/>
      <c r="F17" s="129"/>
      <c r="G17" s="143"/>
      <c r="H17" s="143">
        <f t="shared" ref="H17:L17" si="31">SUM(H18:H20)</f>
        <v>7112370.42</v>
      </c>
      <c r="I17" s="143"/>
      <c r="J17" s="143">
        <f t="shared" si="31"/>
        <v>4301200</v>
      </c>
      <c r="K17" s="112"/>
      <c r="L17" s="143">
        <f t="shared" si="31"/>
        <v>4374290</v>
      </c>
      <c r="M17" s="143"/>
      <c r="N17" s="143">
        <f>SUM(N18:N20)</f>
        <v>2860144</v>
      </c>
      <c r="O17" s="143"/>
      <c r="P17" s="143">
        <f>SUM(P18:P20)</f>
        <v>5158728</v>
      </c>
      <c r="Q17" s="143"/>
      <c r="R17" s="143">
        <f t="shared" ref="R17:V17" si="32">SUM(R18:R20)</f>
        <v>1909900</v>
      </c>
      <c r="S17" s="144"/>
      <c r="T17" s="143">
        <f t="shared" si="32"/>
        <v>2071648.9484</v>
      </c>
      <c r="U17" s="112"/>
      <c r="V17" s="143">
        <f t="shared" si="32"/>
        <v>1185048</v>
      </c>
      <c r="W17" s="143"/>
      <c r="X17" s="143">
        <f>SUM(X18:X20)</f>
        <v>2348200</v>
      </c>
      <c r="Y17" s="143"/>
      <c r="Z17" s="143">
        <f t="shared" ref="Z17:AD17" si="33">SUM(Z18:Z20)</f>
        <v>2009200</v>
      </c>
      <c r="AA17" s="138"/>
      <c r="AB17" s="143">
        <f t="shared" si="33"/>
        <v>2193449.16545455</v>
      </c>
      <c r="AC17" s="143"/>
      <c r="AD17" s="143">
        <f t="shared" si="33"/>
        <v>0</v>
      </c>
      <c r="AE17" s="145"/>
      <c r="AF17" s="143">
        <f>SUM(AF18:AF20)</f>
        <v>2325056.11538182</v>
      </c>
      <c r="AG17" s="107"/>
    </row>
    <row r="18" s="10" customFormat="1" ht="35" customHeight="1" outlineLevel="2" spans="1:36">
      <c r="A18" s="161">
        <v>3.1</v>
      </c>
      <c r="B18" s="149" t="s">
        <v>58</v>
      </c>
      <c r="C18" s="158" t="s">
        <v>59</v>
      </c>
      <c r="D18" s="159" t="s">
        <v>60</v>
      </c>
      <c r="E18" s="156" t="s">
        <v>42</v>
      </c>
      <c r="F18" s="150">
        <f>9600*6*3/2</f>
        <v>86400</v>
      </c>
      <c r="G18" s="151">
        <v>54.53825</v>
      </c>
      <c r="H18" s="151">
        <f t="shared" ref="H18:H20" si="34">+$F18*G18</f>
        <v>4712104.8</v>
      </c>
      <c r="I18" s="151">
        <v>31.84</v>
      </c>
      <c r="J18" s="151">
        <f t="shared" ref="J18:J20" si="35">+$F18*I18</f>
        <v>2750976</v>
      </c>
      <c r="K18" s="152">
        <v>33.35</v>
      </c>
      <c r="L18" s="151">
        <f t="shared" ref="L18:L20" si="36">+$F18*K18</f>
        <v>2881440</v>
      </c>
      <c r="M18" s="151">
        <v>21.35</v>
      </c>
      <c r="N18" s="151">
        <f t="shared" ref="N18:N20" si="37">+$F18*M18</f>
        <v>1844640</v>
      </c>
      <c r="O18" s="151">
        <v>39.9</v>
      </c>
      <c r="P18" s="151">
        <f>+$F18*O18</f>
        <v>3447360</v>
      </c>
      <c r="Q18" s="151">
        <v>14.6</v>
      </c>
      <c r="R18" s="151">
        <f t="shared" ref="R18:R20" si="38">+$F18*Q18</f>
        <v>1261440</v>
      </c>
      <c r="S18" s="153">
        <v>14.888</v>
      </c>
      <c r="T18" s="151">
        <f>+$F18*S18</f>
        <v>1286323.2</v>
      </c>
      <c r="U18" s="152">
        <v>8.72</v>
      </c>
      <c r="V18" s="151">
        <f t="shared" ref="V18:V20" si="39">+$F18*U18</f>
        <v>753408</v>
      </c>
      <c r="W18" s="151">
        <v>18</v>
      </c>
      <c r="X18" s="151">
        <f>+$F18*W18</f>
        <v>1555200</v>
      </c>
      <c r="Y18" s="151">
        <v>15</v>
      </c>
      <c r="Z18" s="151">
        <f t="shared" ref="Z18:AD18" si="40">+$F18*Y18</f>
        <v>1296000</v>
      </c>
      <c r="AA18" s="154">
        <v>16.69563</v>
      </c>
      <c r="AB18" s="151">
        <f t="shared" si="40"/>
        <v>1442502.432</v>
      </c>
      <c r="AC18" s="151"/>
      <c r="AD18" s="151">
        <f t="shared" si="40"/>
        <v>0</v>
      </c>
      <c r="AE18" s="155">
        <f t="shared" ref="AE18:AE20" si="41">+AA18*1.06</f>
        <v>17.6973678</v>
      </c>
      <c r="AF18" s="151">
        <f>+$F18*AE18</f>
        <v>1529052.57792</v>
      </c>
      <c r="AG18" s="156"/>
    </row>
    <row r="19" s="10" customFormat="1" ht="35" customHeight="1" outlineLevel="2" spans="1:36">
      <c r="A19" s="161">
        <v>3.2</v>
      </c>
      <c r="B19" s="149" t="s">
        <v>61</v>
      </c>
      <c r="C19" s="158"/>
      <c r="D19" s="159"/>
      <c r="E19" s="156" t="s">
        <v>42</v>
      </c>
      <c r="F19" s="150">
        <f>9600*8*1/2</f>
        <v>38400</v>
      </c>
      <c r="G19" s="151">
        <v>60.8313</v>
      </c>
      <c r="H19" s="151">
        <f t="shared" si="34"/>
        <v>2335921.92</v>
      </c>
      <c r="I19" s="151">
        <v>39.16</v>
      </c>
      <c r="J19" s="151">
        <f t="shared" si="35"/>
        <v>1503744</v>
      </c>
      <c r="K19" s="152">
        <v>37.75</v>
      </c>
      <c r="L19" s="151">
        <f t="shared" si="36"/>
        <v>1449600</v>
      </c>
      <c r="M19" s="151">
        <v>25.56</v>
      </c>
      <c r="N19" s="151">
        <f t="shared" si="37"/>
        <v>981504</v>
      </c>
      <c r="O19" s="151">
        <v>43.32</v>
      </c>
      <c r="P19" s="151">
        <f>+$F19*O19</f>
        <v>1663488</v>
      </c>
      <c r="Q19" s="151">
        <v>16.4</v>
      </c>
      <c r="R19" s="151">
        <f t="shared" si="38"/>
        <v>629760</v>
      </c>
      <c r="S19" s="153">
        <v>19.827156</v>
      </c>
      <c r="T19" s="151">
        <f>+$F19*S19</f>
        <v>761362.7904</v>
      </c>
      <c r="U19" s="152">
        <v>10.9</v>
      </c>
      <c r="V19" s="151">
        <f t="shared" si="39"/>
        <v>418560</v>
      </c>
      <c r="W19" s="151">
        <v>20</v>
      </c>
      <c r="X19" s="151">
        <f>+$F19*W19</f>
        <v>768000</v>
      </c>
      <c r="Y19" s="151">
        <v>18</v>
      </c>
      <c r="Z19" s="151">
        <f t="shared" ref="Z19:AD19" si="42">+$F19*Y19</f>
        <v>691200</v>
      </c>
      <c r="AA19" s="154">
        <v>18.996085</v>
      </c>
      <c r="AB19" s="151">
        <f t="shared" si="42"/>
        <v>729449.664</v>
      </c>
      <c r="AC19" s="151"/>
      <c r="AD19" s="151">
        <f t="shared" si="42"/>
        <v>0</v>
      </c>
      <c r="AE19" s="155">
        <f t="shared" si="41"/>
        <v>20.1358501</v>
      </c>
      <c r="AF19" s="151">
        <f>+$F19*AE19</f>
        <v>773216.64384</v>
      </c>
      <c r="AG19" s="156"/>
    </row>
    <row r="20" s="10" customFormat="1" ht="35" customHeight="1" outlineLevel="2" spans="1:36">
      <c r="A20" s="161">
        <v>3.3</v>
      </c>
      <c r="B20" s="149" t="s">
        <v>62</v>
      </c>
      <c r="C20" s="158"/>
      <c r="D20" s="159"/>
      <c r="E20" s="156" t="s">
        <v>42</v>
      </c>
      <c r="F20" s="150">
        <v>1000</v>
      </c>
      <c r="G20" s="151">
        <v>64.3437</v>
      </c>
      <c r="H20" s="151">
        <f t="shared" si="34"/>
        <v>64343.7</v>
      </c>
      <c r="I20" s="151">
        <v>46.48</v>
      </c>
      <c r="J20" s="151">
        <f t="shared" si="35"/>
        <v>46480</v>
      </c>
      <c r="K20" s="152">
        <v>43.25</v>
      </c>
      <c r="L20" s="151">
        <f t="shared" si="36"/>
        <v>43250</v>
      </c>
      <c r="M20" s="151">
        <v>34</v>
      </c>
      <c r="N20" s="151">
        <f t="shared" si="37"/>
        <v>34000</v>
      </c>
      <c r="O20" s="151">
        <v>47.88</v>
      </c>
      <c r="P20" s="151">
        <f>+$F20*O20</f>
        <v>47880</v>
      </c>
      <c r="Q20" s="151">
        <v>18.7</v>
      </c>
      <c r="R20" s="151">
        <f t="shared" si="38"/>
        <v>18700</v>
      </c>
      <c r="S20" s="153">
        <v>23.962958</v>
      </c>
      <c r="T20" s="151">
        <f>+$F20*S20</f>
        <v>23962.958</v>
      </c>
      <c r="U20" s="152">
        <v>13.08</v>
      </c>
      <c r="V20" s="151">
        <f t="shared" si="39"/>
        <v>13080</v>
      </c>
      <c r="W20" s="151">
        <v>25</v>
      </c>
      <c r="X20" s="151">
        <f>+$F20*W20</f>
        <v>25000</v>
      </c>
      <c r="Y20" s="151">
        <v>22</v>
      </c>
      <c r="Z20" s="151">
        <f t="shared" ref="Z20:AD20" si="43">+$F20*Y20</f>
        <v>22000</v>
      </c>
      <c r="AA20" s="154">
        <v>21.4970694545455</v>
      </c>
      <c r="AB20" s="151">
        <f t="shared" si="43"/>
        <v>21497.0694545455</v>
      </c>
      <c r="AC20" s="151"/>
      <c r="AD20" s="151">
        <f t="shared" si="43"/>
        <v>0</v>
      </c>
      <c r="AE20" s="155">
        <f t="shared" si="41"/>
        <v>22.7868936218182</v>
      </c>
      <c r="AF20" s="151">
        <f>+$F20*AE20</f>
        <v>22786.8936218182</v>
      </c>
      <c r="AG20" s="156"/>
    </row>
    <row r="21" s="12" customFormat="1" ht="25" customHeight="1" outlineLevel="1" spans="1:36">
      <c r="A21" s="106">
        <v>4</v>
      </c>
      <c r="B21" s="141" t="s">
        <v>63</v>
      </c>
      <c r="C21" s="142"/>
      <c r="D21" s="160"/>
      <c r="E21" s="107"/>
      <c r="F21" s="129"/>
      <c r="G21" s="143"/>
      <c r="H21" s="143">
        <f t="shared" ref="H21:L21" si="44">SUM(H22:H24)</f>
        <v>8469913.02</v>
      </c>
      <c r="I21" s="143"/>
      <c r="J21" s="143">
        <f t="shared" si="44"/>
        <v>5480080</v>
      </c>
      <c r="K21" s="112"/>
      <c r="L21" s="143">
        <f t="shared" si="44"/>
        <v>4995080</v>
      </c>
      <c r="M21" s="143"/>
      <c r="N21" s="143">
        <f>SUM(N22:N24)</f>
        <v>4512984</v>
      </c>
      <c r="O21" s="143"/>
      <c r="P21" s="143">
        <f>SUM(P22:P24)</f>
        <v>3908832</v>
      </c>
      <c r="Q21" s="143"/>
      <c r="R21" s="143">
        <f t="shared" ref="R21:V21" si="45">SUM(R22:R24)</f>
        <v>3576830</v>
      </c>
      <c r="S21" s="144"/>
      <c r="T21" s="143">
        <f t="shared" si="45"/>
        <v>2184560.7264</v>
      </c>
      <c r="U21" s="112"/>
      <c r="V21" s="143">
        <f t="shared" si="45"/>
        <v>3645716</v>
      </c>
      <c r="W21" s="143"/>
      <c r="X21" s="143">
        <f>SUM(X22:X24)</f>
        <v>3684000</v>
      </c>
      <c r="Y21" s="143"/>
      <c r="Z21" s="143">
        <f t="shared" ref="Z21:AD21" si="46">SUM(Z22:Z24)</f>
        <v>3266200</v>
      </c>
      <c r="AA21" s="138"/>
      <c r="AB21" s="143">
        <f t="shared" si="46"/>
        <v>2883589.16545455</v>
      </c>
      <c r="AC21" s="143"/>
      <c r="AD21" s="143">
        <f t="shared" si="46"/>
        <v>0</v>
      </c>
      <c r="AE21" s="145"/>
      <c r="AF21" s="143">
        <f>SUM(AF22:AF24)</f>
        <v>3056604.51538182</v>
      </c>
      <c r="AG21" s="107"/>
    </row>
    <row r="22" s="10" customFormat="1" ht="34" customHeight="1" outlineLevel="2" spans="1:36">
      <c r="A22" s="146">
        <v>4.1</v>
      </c>
      <c r="B22" s="149" t="s">
        <v>58</v>
      </c>
      <c r="C22" s="158" t="s">
        <v>64</v>
      </c>
      <c r="D22" s="159" t="s">
        <v>60</v>
      </c>
      <c r="E22" s="156" t="s">
        <v>42</v>
      </c>
      <c r="F22" s="150">
        <f>9600*6*3/2</f>
        <v>86400</v>
      </c>
      <c r="G22" s="151">
        <v>66.24625</v>
      </c>
      <c r="H22" s="151">
        <f t="shared" ref="H22:H24" si="47">+$F22*G22</f>
        <v>5723676</v>
      </c>
      <c r="I22" s="151">
        <v>40.8</v>
      </c>
      <c r="J22" s="151">
        <f t="shared" ref="J22:J24" si="48">+$F22*I22</f>
        <v>3525120</v>
      </c>
      <c r="K22" s="152">
        <v>39</v>
      </c>
      <c r="L22" s="151">
        <f t="shared" ref="L22:L24" si="49">+$F22*K22</f>
        <v>3369600</v>
      </c>
      <c r="M22" s="151">
        <v>34.11</v>
      </c>
      <c r="N22" s="151">
        <f t="shared" ref="N22:N24" si="50">+$F22*M22</f>
        <v>2947104</v>
      </c>
      <c r="O22" s="151">
        <v>28.5</v>
      </c>
      <c r="P22" s="151">
        <f>+$F22*O22</f>
        <v>2462400</v>
      </c>
      <c r="Q22" s="151">
        <v>28.1</v>
      </c>
      <c r="R22" s="151">
        <f t="shared" ref="R22:R24" si="51">+$F22*Q22</f>
        <v>2427840</v>
      </c>
      <c r="S22" s="153">
        <v>16.408208</v>
      </c>
      <c r="T22" s="151">
        <f>+$F22*S22</f>
        <v>1417669.1712</v>
      </c>
      <c r="U22" s="152">
        <v>28.46</v>
      </c>
      <c r="V22" s="151">
        <f t="shared" ref="V22:V24" si="52">+$F22*U22</f>
        <v>2458944</v>
      </c>
      <c r="W22" s="151">
        <v>28</v>
      </c>
      <c r="X22" s="151">
        <f>+$F22*W22</f>
        <v>2419200</v>
      </c>
      <c r="Y22" s="151">
        <v>25</v>
      </c>
      <c r="Z22" s="151">
        <f t="shared" ref="Z22:AD22" si="53">+$F22*Y22</f>
        <v>2160000</v>
      </c>
      <c r="AA22" s="154">
        <v>22.49563</v>
      </c>
      <c r="AB22" s="151">
        <f t="shared" si="53"/>
        <v>1943622.432</v>
      </c>
      <c r="AC22" s="151"/>
      <c r="AD22" s="151">
        <f t="shared" si="53"/>
        <v>0</v>
      </c>
      <c r="AE22" s="155">
        <f t="shared" ref="AE22:AE24" si="54">+AA22*1.06</f>
        <v>23.8453678</v>
      </c>
      <c r="AF22" s="151">
        <f>+$F22*AE22</f>
        <v>2060239.77792</v>
      </c>
      <c r="AG22" s="156"/>
    </row>
    <row r="23" s="10" customFormat="1" ht="34" customHeight="1" outlineLevel="2" spans="1:36">
      <c r="A23" s="146">
        <v>4.2</v>
      </c>
      <c r="B23" s="149" t="s">
        <v>61</v>
      </c>
      <c r="C23" s="158"/>
      <c r="D23" s="159"/>
      <c r="E23" s="156" t="s">
        <v>42</v>
      </c>
      <c r="F23" s="150">
        <f>9600*8*1/2</f>
        <v>38400</v>
      </c>
      <c r="G23" s="151">
        <v>69.6123</v>
      </c>
      <c r="H23" s="151">
        <f t="shared" si="47"/>
        <v>2673112.32</v>
      </c>
      <c r="I23" s="151">
        <v>49.4</v>
      </c>
      <c r="J23" s="151">
        <f t="shared" si="48"/>
        <v>1896960</v>
      </c>
      <c r="K23" s="152">
        <v>41.2</v>
      </c>
      <c r="L23" s="151">
        <f t="shared" si="49"/>
        <v>1582080</v>
      </c>
      <c r="M23" s="151">
        <v>39.6</v>
      </c>
      <c r="N23" s="151">
        <f t="shared" si="50"/>
        <v>1520640</v>
      </c>
      <c r="O23" s="151">
        <v>36.48</v>
      </c>
      <c r="P23" s="151">
        <f>+$F23*O23</f>
        <v>1400832</v>
      </c>
      <c r="Q23" s="151">
        <v>29.1</v>
      </c>
      <c r="R23" s="151">
        <f t="shared" si="51"/>
        <v>1117440</v>
      </c>
      <c r="S23" s="153">
        <v>19.388608</v>
      </c>
      <c r="T23" s="151">
        <f>+$F23*S23</f>
        <v>744522.5472</v>
      </c>
      <c r="U23" s="152">
        <v>30.08</v>
      </c>
      <c r="V23" s="151">
        <f t="shared" si="52"/>
        <v>1155072</v>
      </c>
      <c r="W23" s="151">
        <v>32</v>
      </c>
      <c r="X23" s="151">
        <f>+$F23*W23</f>
        <v>1228800</v>
      </c>
      <c r="Y23" s="151">
        <v>28</v>
      </c>
      <c r="Z23" s="151">
        <f t="shared" ref="Z23:AD23" si="55">+$F23*Y23</f>
        <v>1075200</v>
      </c>
      <c r="AA23" s="154">
        <v>23.796085</v>
      </c>
      <c r="AB23" s="151">
        <f t="shared" si="55"/>
        <v>913769.664</v>
      </c>
      <c r="AC23" s="151"/>
      <c r="AD23" s="151">
        <f t="shared" si="55"/>
        <v>0</v>
      </c>
      <c r="AE23" s="155">
        <f t="shared" si="54"/>
        <v>25.2238501</v>
      </c>
      <c r="AF23" s="151">
        <f>+$F23*AE23</f>
        <v>968595.84384</v>
      </c>
      <c r="AG23" s="156"/>
    </row>
    <row r="24" s="10" customFormat="1" ht="34" customHeight="1" outlineLevel="2" spans="1:36">
      <c r="A24" s="146">
        <v>4.3</v>
      </c>
      <c r="B24" s="149" t="s">
        <v>62</v>
      </c>
      <c r="C24" s="158"/>
      <c r="D24" s="159"/>
      <c r="E24" s="156" t="s">
        <v>42</v>
      </c>
      <c r="F24" s="150">
        <v>1000</v>
      </c>
      <c r="G24" s="151">
        <v>73.1247</v>
      </c>
      <c r="H24" s="151">
        <f t="shared" si="47"/>
        <v>73124.7</v>
      </c>
      <c r="I24" s="151">
        <v>58</v>
      </c>
      <c r="J24" s="151">
        <f t="shared" si="48"/>
        <v>58000</v>
      </c>
      <c r="K24" s="152">
        <v>43.4</v>
      </c>
      <c r="L24" s="151">
        <f t="shared" si="49"/>
        <v>43400</v>
      </c>
      <c r="M24" s="151">
        <v>45.24</v>
      </c>
      <c r="N24" s="151">
        <f t="shared" si="50"/>
        <v>45240</v>
      </c>
      <c r="O24" s="151">
        <v>45.6</v>
      </c>
      <c r="P24" s="151">
        <f>+$F24*O24</f>
        <v>45600</v>
      </c>
      <c r="Q24" s="151">
        <v>31.55</v>
      </c>
      <c r="R24" s="151">
        <f t="shared" si="51"/>
        <v>31550</v>
      </c>
      <c r="S24" s="153">
        <v>22.369008</v>
      </c>
      <c r="T24" s="151">
        <f>+$F24*S24</f>
        <v>22369.008</v>
      </c>
      <c r="U24" s="152">
        <v>31.7</v>
      </c>
      <c r="V24" s="151">
        <f t="shared" si="52"/>
        <v>31700</v>
      </c>
      <c r="W24" s="151">
        <v>36</v>
      </c>
      <c r="X24" s="151">
        <f>+$F24*W24</f>
        <v>36000</v>
      </c>
      <c r="Y24" s="151">
        <v>31</v>
      </c>
      <c r="Z24" s="151">
        <f t="shared" ref="Z24:AD24" si="56">+$F24*Y24</f>
        <v>31000</v>
      </c>
      <c r="AA24" s="154">
        <v>26.1970694545455</v>
      </c>
      <c r="AB24" s="151">
        <f t="shared" si="56"/>
        <v>26197.0694545455</v>
      </c>
      <c r="AC24" s="151"/>
      <c r="AD24" s="151">
        <f t="shared" si="56"/>
        <v>0</v>
      </c>
      <c r="AE24" s="155">
        <f t="shared" si="54"/>
        <v>27.7688936218182</v>
      </c>
      <c r="AF24" s="151">
        <f>+$F24*AE24</f>
        <v>27768.8936218182</v>
      </c>
      <c r="AG24" s="156"/>
    </row>
    <row r="25" s="86" customFormat="1" ht="25" customHeight="1" outlineLevel="1" spans="1:36">
      <c r="A25" s="162">
        <v>5</v>
      </c>
      <c r="B25" s="163" t="s">
        <v>65</v>
      </c>
      <c r="C25" s="50"/>
      <c r="D25" s="164"/>
      <c r="E25" s="163"/>
      <c r="F25" s="165"/>
      <c r="G25" s="166"/>
      <c r="H25" s="166">
        <f t="shared" ref="H25:L25" si="57">H7+H11+H17+H21</f>
        <v>28474854.76089</v>
      </c>
      <c r="I25" s="166"/>
      <c r="J25" s="166">
        <f t="shared" si="57"/>
        <v>21896559.144</v>
      </c>
      <c r="K25" s="167"/>
      <c r="L25" s="166">
        <f t="shared" si="57"/>
        <v>18149370.876</v>
      </c>
      <c r="M25" s="166"/>
      <c r="N25" s="166">
        <f>N7+N11+N17+N21</f>
        <v>17990093.1978</v>
      </c>
      <c r="O25" s="166"/>
      <c r="P25" s="166">
        <f>P7+P11+P17+P21</f>
        <v>16887222.177</v>
      </c>
      <c r="Q25" s="166"/>
      <c r="R25" s="166">
        <f t="shared" ref="R25:V25" si="58">R7+R11+R17+R21</f>
        <v>13714333.1604</v>
      </c>
      <c r="S25" s="168"/>
      <c r="T25" s="166">
        <f t="shared" si="58"/>
        <v>13957528.378758</v>
      </c>
      <c r="U25" s="167"/>
      <c r="V25" s="166">
        <f t="shared" si="58"/>
        <v>14353988.774</v>
      </c>
      <c r="W25" s="166"/>
      <c r="X25" s="166">
        <f>X7+X11+X17+X21</f>
        <v>12992912.14</v>
      </c>
      <c r="Y25" s="166"/>
      <c r="Z25" s="166">
        <f t="shared" ref="Z25:AD25" si="59">Z7+Z11+Z17+Z21</f>
        <v>11540177.93</v>
      </c>
      <c r="AA25" s="138"/>
      <c r="AB25" s="166">
        <f t="shared" si="59"/>
        <v>11712421.8386991</v>
      </c>
      <c r="AC25" s="166"/>
      <c r="AD25" s="166">
        <f t="shared" si="59"/>
        <v>11615172.48</v>
      </c>
      <c r="AE25" s="169"/>
      <c r="AF25" s="166">
        <f>AF7+AF11+AF17+AF21</f>
        <v>12415167.1490211</v>
      </c>
      <c r="AG25" s="163"/>
      <c r="AH25" s="12"/>
      <c r="AI25" s="12"/>
      <c r="AJ25" s="12"/>
    </row>
    <row r="26" s="86" customFormat="1" ht="25" customHeight="1" outlineLevel="1" spans="1:36">
      <c r="A26" s="162">
        <v>6</v>
      </c>
      <c r="B26" s="163" t="s">
        <v>66</v>
      </c>
      <c r="C26" s="50"/>
      <c r="D26" s="164"/>
      <c r="E26" s="163"/>
      <c r="F26" s="170"/>
      <c r="G26" s="171">
        <v>0.09</v>
      </c>
      <c r="H26" s="166">
        <f t="shared" ref="H26:L26" si="60">H25*G26</f>
        <v>2562736.9284801</v>
      </c>
      <c r="I26" s="171">
        <v>0.09</v>
      </c>
      <c r="J26" s="166">
        <f t="shared" si="60"/>
        <v>1970690.32296</v>
      </c>
      <c r="K26" s="172">
        <v>0.09</v>
      </c>
      <c r="L26" s="166">
        <f t="shared" si="60"/>
        <v>1633443.37884</v>
      </c>
      <c r="M26" s="171">
        <v>0.09</v>
      </c>
      <c r="N26" s="166">
        <f>N25*M26</f>
        <v>1619108.387802</v>
      </c>
      <c r="O26" s="171">
        <v>0.09</v>
      </c>
      <c r="P26" s="166">
        <f>P25*O26</f>
        <v>1519849.99593</v>
      </c>
      <c r="Q26" s="171">
        <v>0.09</v>
      </c>
      <c r="R26" s="166">
        <f t="shared" ref="R26:V26" si="61">R25*Q26</f>
        <v>1234289.984436</v>
      </c>
      <c r="S26" s="173">
        <v>0.03</v>
      </c>
      <c r="T26" s="166">
        <f t="shared" si="61"/>
        <v>418725.851362741</v>
      </c>
      <c r="U26" s="172">
        <v>0.03</v>
      </c>
      <c r="V26" s="166">
        <f t="shared" si="61"/>
        <v>430619.66322</v>
      </c>
      <c r="W26" s="171">
        <v>0.03</v>
      </c>
      <c r="X26" s="166">
        <f>X25*W26</f>
        <v>389787.3642</v>
      </c>
      <c r="Y26" s="171">
        <v>0.03</v>
      </c>
      <c r="Z26" s="166">
        <f t="shared" ref="Z26:AD26" si="62">Z25*Y26</f>
        <v>346205.3379</v>
      </c>
      <c r="AA26" s="174">
        <v>0.09</v>
      </c>
      <c r="AB26" s="166">
        <f t="shared" si="62"/>
        <v>1054117.96548292</v>
      </c>
      <c r="AC26" s="174">
        <v>0.09</v>
      </c>
      <c r="AD26" s="166">
        <f t="shared" si="62"/>
        <v>1045365.5232</v>
      </c>
      <c r="AE26" s="171">
        <v>0.09</v>
      </c>
      <c r="AF26" s="166">
        <f>AF25*AE26</f>
        <v>1117365.0434119</v>
      </c>
      <c r="AG26" s="163"/>
      <c r="AH26" s="12"/>
      <c r="AI26" s="12"/>
      <c r="AJ26" s="12"/>
    </row>
    <row r="27" s="86" customFormat="1" ht="25" customHeight="1" outlineLevel="1" spans="1:36">
      <c r="A27" s="162">
        <v>7</v>
      </c>
      <c r="B27" s="163" t="s">
        <v>67</v>
      </c>
      <c r="C27" s="50"/>
      <c r="D27" s="164"/>
      <c r="E27" s="163"/>
      <c r="F27" s="165"/>
      <c r="G27" s="166"/>
      <c r="H27" s="166">
        <f t="shared" ref="H27:L27" si="63">H25+H26</f>
        <v>31037591.6893701</v>
      </c>
      <c r="I27" s="166"/>
      <c r="J27" s="166">
        <f t="shared" si="63"/>
        <v>23867249.46696</v>
      </c>
      <c r="K27" s="167"/>
      <c r="L27" s="166">
        <f t="shared" si="63"/>
        <v>19782814.25484</v>
      </c>
      <c r="M27" s="166"/>
      <c r="N27" s="166">
        <f>N25+N26</f>
        <v>19609201.585602</v>
      </c>
      <c r="O27" s="166"/>
      <c r="P27" s="166">
        <f>P25+P26</f>
        <v>18407072.17293</v>
      </c>
      <c r="Q27" s="166"/>
      <c r="R27" s="166">
        <f t="shared" ref="R27:V27" si="64">R25+R26</f>
        <v>14948623.144836</v>
      </c>
      <c r="S27" s="168"/>
      <c r="T27" s="166">
        <f t="shared" si="64"/>
        <v>14376254.2301208</v>
      </c>
      <c r="U27" s="167"/>
      <c r="V27" s="166">
        <f t="shared" si="64"/>
        <v>14784608.43722</v>
      </c>
      <c r="W27" s="166"/>
      <c r="X27" s="166">
        <f>X25+X26</f>
        <v>13382699.5042</v>
      </c>
      <c r="Y27" s="166"/>
      <c r="Z27" s="166">
        <f t="shared" ref="Z27:AD27" si="65">Z25+Z26</f>
        <v>11886383.2679</v>
      </c>
      <c r="AA27" s="138"/>
      <c r="AB27" s="166">
        <f t="shared" si="65"/>
        <v>12766539.8041821</v>
      </c>
      <c r="AC27" s="166"/>
      <c r="AD27" s="166">
        <f t="shared" si="65"/>
        <v>12660538.0032</v>
      </c>
      <c r="AE27" s="169"/>
      <c r="AF27" s="166">
        <f>AF25+AF26</f>
        <v>13532532.192433</v>
      </c>
      <c r="AG27" s="163"/>
      <c r="AH27" s="12"/>
      <c r="AI27" s="12"/>
      <c r="AJ27" s="12"/>
    </row>
    <row r="28" s="85" customFormat="1" ht="35" customHeight="1" spans="1:36">
      <c r="A28" s="175" t="s">
        <v>68</v>
      </c>
      <c r="B28" s="133" t="s">
        <v>69</v>
      </c>
      <c r="C28" s="176"/>
      <c r="D28" s="132"/>
      <c r="E28" s="133"/>
      <c r="F28" s="134"/>
      <c r="G28" s="135"/>
      <c r="H28" s="135">
        <f t="shared" ref="H28:L28" si="66">H45</f>
        <v>9268046.9246875</v>
      </c>
      <c r="I28" s="135"/>
      <c r="J28" s="135">
        <f t="shared" si="66"/>
        <v>6277221.04728</v>
      </c>
      <c r="K28" s="136"/>
      <c r="L28" s="135">
        <f t="shared" si="66"/>
        <v>6443593.86</v>
      </c>
      <c r="M28" s="135"/>
      <c r="N28" s="135">
        <f>N45</f>
        <v>6687052.68262</v>
      </c>
      <c r="O28" s="135"/>
      <c r="P28" s="135">
        <f>P45</f>
        <v>6131029.8636</v>
      </c>
      <c r="Q28" s="135"/>
      <c r="R28" s="135">
        <f t="shared" ref="R28:V28" si="67">R45</f>
        <v>7582833.1712</v>
      </c>
      <c r="S28" s="137"/>
      <c r="T28" s="135">
        <f t="shared" si="67"/>
        <v>6796011.14307232</v>
      </c>
      <c r="U28" s="136"/>
      <c r="V28" s="135">
        <f t="shared" si="67"/>
        <v>6359712.9803304</v>
      </c>
      <c r="W28" s="135"/>
      <c r="X28" s="135">
        <f>X45</f>
        <v>5683568.016</v>
      </c>
      <c r="Y28" s="135"/>
      <c r="Z28" s="135">
        <f t="shared" ref="Z28:AD28" si="68">Z45</f>
        <v>5164523</v>
      </c>
      <c r="AA28" s="138"/>
      <c r="AB28" s="135">
        <f t="shared" si="68"/>
        <v>4851723.29778628</v>
      </c>
      <c r="AC28" s="135"/>
      <c r="AD28" s="135">
        <f t="shared" si="68"/>
        <v>6141763.50399169</v>
      </c>
      <c r="AE28" s="139"/>
      <c r="AF28" s="135">
        <f>AF45</f>
        <v>4859735.31791106</v>
      </c>
      <c r="AG28" s="177"/>
      <c r="AH28" s="140"/>
      <c r="AI28" s="140"/>
      <c r="AJ28" s="140"/>
    </row>
    <row r="29" s="12" customFormat="1" ht="25" customHeight="1" outlineLevel="1" spans="1:36">
      <c r="A29" s="106">
        <v>1</v>
      </c>
      <c r="B29" s="107" t="s">
        <v>70</v>
      </c>
      <c r="C29" s="157"/>
      <c r="D29" s="142"/>
      <c r="E29" s="107"/>
      <c r="F29" s="129"/>
      <c r="G29" s="143"/>
      <c r="H29" s="143">
        <f t="shared" ref="H29:L29" si="69">SUM(H30:H37)</f>
        <v>6273508.84375</v>
      </c>
      <c r="I29" s="143"/>
      <c r="J29" s="143">
        <f t="shared" si="69"/>
        <v>4302022.392</v>
      </c>
      <c r="K29" s="112"/>
      <c r="L29" s="143">
        <f t="shared" si="69"/>
        <v>4476648</v>
      </c>
      <c r="M29" s="143"/>
      <c r="N29" s="143">
        <f>SUM(N30:N37)</f>
        <v>3879982.918</v>
      </c>
      <c r="O29" s="143"/>
      <c r="P29" s="143">
        <f>SUM(P30:P37)</f>
        <v>4304453.04</v>
      </c>
      <c r="Q29" s="143"/>
      <c r="R29" s="143">
        <f t="shared" ref="R29:V29" si="70">SUM(R30:R37)</f>
        <v>4758039.68</v>
      </c>
      <c r="S29" s="144"/>
      <c r="T29" s="143">
        <f t="shared" si="70"/>
        <v>4369531.694944</v>
      </c>
      <c r="U29" s="112"/>
      <c r="V29" s="143">
        <f t="shared" si="70"/>
        <v>3625313.82168</v>
      </c>
      <c r="W29" s="143"/>
      <c r="X29" s="143">
        <f>SUM(X30:X37)</f>
        <v>4038427.2</v>
      </c>
      <c r="Y29" s="143"/>
      <c r="Z29" s="143">
        <f t="shared" ref="Z29:AD29" si="71">SUM(Z30:Z37)</f>
        <v>3717860</v>
      </c>
      <c r="AA29" s="138"/>
      <c r="AB29" s="143">
        <f t="shared" si="71"/>
        <v>3336733.4</v>
      </c>
      <c r="AC29" s="143"/>
      <c r="AD29" s="143">
        <f t="shared" si="71"/>
        <v>3524106.83799999</v>
      </c>
      <c r="AE29" s="145"/>
      <c r="AF29" s="143">
        <f>SUM(AF30:AF37)</f>
        <v>3536937.404</v>
      </c>
      <c r="AG29" s="107"/>
    </row>
    <row r="30" s="10" customFormat="1" ht="89" customHeight="1" outlineLevel="2" spans="1:36">
      <c r="A30" s="149">
        <v>5.1</v>
      </c>
      <c r="B30" s="73" t="s">
        <v>71</v>
      </c>
      <c r="C30" s="158" t="s">
        <v>72</v>
      </c>
      <c r="D30" s="158" t="s">
        <v>73</v>
      </c>
      <c r="E30" s="149" t="s">
        <v>74</v>
      </c>
      <c r="F30" s="150">
        <f>0.0065*48000</f>
        <v>312</v>
      </c>
      <c r="G30" s="151">
        <v>1728.475</v>
      </c>
      <c r="H30" s="151">
        <f t="shared" ref="H30:H37" si="72">+$F30*G30</f>
        <v>539284.2</v>
      </c>
      <c r="I30" s="151">
        <v>1216</v>
      </c>
      <c r="J30" s="151">
        <f t="shared" ref="J30:J37" si="73">+$F30*I30</f>
        <v>379392</v>
      </c>
      <c r="K30" s="152">
        <v>1100</v>
      </c>
      <c r="L30" s="151">
        <f t="shared" ref="L30:L37" si="74">+$F30*K30</f>
        <v>343200</v>
      </c>
      <c r="M30" s="151">
        <v>1160.38</v>
      </c>
      <c r="N30" s="151">
        <f t="shared" ref="N30:N37" si="75">+$F30*M30</f>
        <v>362038.56</v>
      </c>
      <c r="O30" s="151">
        <v>1054.5</v>
      </c>
      <c r="P30" s="151">
        <f t="shared" ref="P30:P37" si="76">+$F30*O30</f>
        <v>329004</v>
      </c>
      <c r="Q30" s="151">
        <v>1251</v>
      </c>
      <c r="R30" s="151">
        <f t="shared" ref="R30:R37" si="77">+$F30*Q30</f>
        <v>390312</v>
      </c>
      <c r="S30" s="153">
        <v>1227.876</v>
      </c>
      <c r="T30" s="151">
        <f t="shared" ref="T30:T37" si="78">+$F30*S30</f>
        <v>383097.312</v>
      </c>
      <c r="U30" s="152">
        <v>1079.292</v>
      </c>
      <c r="V30" s="151">
        <f t="shared" ref="V30:V37" si="79">+$F30*U30</f>
        <v>336739.104</v>
      </c>
      <c r="W30" s="151">
        <v>938</v>
      </c>
      <c r="X30" s="151">
        <f t="shared" ref="X30:X37" si="80">+$F30*W30</f>
        <v>292656</v>
      </c>
      <c r="Y30" s="151">
        <v>916</v>
      </c>
      <c r="Z30" s="151">
        <f t="shared" ref="Z30:Z37" si="81">+$F30*Y30</f>
        <v>285792</v>
      </c>
      <c r="AA30" s="154">
        <v>900</v>
      </c>
      <c r="AB30" s="151">
        <f t="shared" ref="AB30:AB37" si="82">+$F30*AA30</f>
        <v>280800</v>
      </c>
      <c r="AC30" s="151">
        <v>1103.36295353982</v>
      </c>
      <c r="AD30" s="151">
        <f t="shared" ref="AD30:AD37" si="83">+$F30*AC30</f>
        <v>344249.241504424</v>
      </c>
      <c r="AE30" s="155">
        <f t="shared" ref="AE30:AE37" si="84">+AA30*1.06</f>
        <v>954</v>
      </c>
      <c r="AF30" s="151">
        <f t="shared" ref="AF30:AF37" si="85">+$F30*AE30</f>
        <v>297648</v>
      </c>
      <c r="AG30" s="156"/>
    </row>
    <row r="31" s="10" customFormat="1" ht="94" customHeight="1" outlineLevel="2" spans="1:36">
      <c r="A31" s="149">
        <v>5.2</v>
      </c>
      <c r="B31" s="149" t="s">
        <v>75</v>
      </c>
      <c r="C31" s="158"/>
      <c r="D31" s="158" t="s">
        <v>76</v>
      </c>
      <c r="E31" s="149" t="s">
        <v>74</v>
      </c>
      <c r="F31" s="150">
        <f>48000*50/1000</f>
        <v>2400</v>
      </c>
      <c r="G31" s="151">
        <v>1802.85</v>
      </c>
      <c r="H31" s="151">
        <f t="shared" si="72"/>
        <v>4326840</v>
      </c>
      <c r="I31" s="151">
        <v>1228.8</v>
      </c>
      <c r="J31" s="151">
        <f t="shared" si="73"/>
        <v>2949120</v>
      </c>
      <c r="K31" s="152">
        <v>1210</v>
      </c>
      <c r="L31" s="151">
        <f t="shared" si="74"/>
        <v>2904000</v>
      </c>
      <c r="M31" s="151">
        <v>1160.38</v>
      </c>
      <c r="N31" s="151">
        <f t="shared" si="75"/>
        <v>2784912</v>
      </c>
      <c r="O31" s="151">
        <v>1221</v>
      </c>
      <c r="P31" s="151">
        <f t="shared" si="76"/>
        <v>2930400</v>
      </c>
      <c r="Q31" s="151">
        <v>1490.1</v>
      </c>
      <c r="R31" s="151">
        <f t="shared" si="77"/>
        <v>3576240</v>
      </c>
      <c r="S31" s="153">
        <v>1310.3144</v>
      </c>
      <c r="T31" s="151">
        <f t="shared" si="78"/>
        <v>3144754.56</v>
      </c>
      <c r="U31" s="152">
        <v>1079.292</v>
      </c>
      <c r="V31" s="151">
        <f t="shared" si="79"/>
        <v>2590300.8</v>
      </c>
      <c r="W31" s="151">
        <v>1230</v>
      </c>
      <c r="X31" s="151">
        <f t="shared" si="80"/>
        <v>2952000</v>
      </c>
      <c r="Y31" s="151">
        <v>1120</v>
      </c>
      <c r="Z31" s="151">
        <f t="shared" si="81"/>
        <v>2688000</v>
      </c>
      <c r="AA31" s="154">
        <v>1020</v>
      </c>
      <c r="AB31" s="151">
        <f t="shared" si="82"/>
        <v>2448000</v>
      </c>
      <c r="AC31" s="151">
        <f>+AC30</f>
        <v>1103.36295353982</v>
      </c>
      <c r="AD31" s="151">
        <f t="shared" si="83"/>
        <v>2648071.08849557</v>
      </c>
      <c r="AE31" s="155">
        <f t="shared" si="84"/>
        <v>1081.2</v>
      </c>
      <c r="AF31" s="151">
        <f t="shared" si="85"/>
        <v>2594880</v>
      </c>
      <c r="AG31" s="156"/>
    </row>
    <row r="32" s="10" customFormat="1" ht="39" customHeight="1" outlineLevel="2" spans="1:36">
      <c r="A32" s="149">
        <v>5.3</v>
      </c>
      <c r="B32" s="149" t="s">
        <v>77</v>
      </c>
      <c r="C32" s="158" t="s">
        <v>78</v>
      </c>
      <c r="D32" s="158" t="s">
        <v>79</v>
      </c>
      <c r="E32" s="149" t="s">
        <v>80</v>
      </c>
      <c r="F32" s="150">
        <v>10000</v>
      </c>
      <c r="G32" s="151">
        <v>19.91625</v>
      </c>
      <c r="H32" s="151">
        <f t="shared" si="72"/>
        <v>199162.5</v>
      </c>
      <c r="I32" s="151">
        <v>18.455</v>
      </c>
      <c r="J32" s="151">
        <f t="shared" si="73"/>
        <v>184550</v>
      </c>
      <c r="K32" s="152">
        <v>11</v>
      </c>
      <c r="L32" s="151">
        <f t="shared" si="74"/>
        <v>110000</v>
      </c>
      <c r="M32" s="151">
        <v>16.28</v>
      </c>
      <c r="N32" s="151">
        <f t="shared" si="75"/>
        <v>162800</v>
      </c>
      <c r="O32" s="151">
        <v>13.68</v>
      </c>
      <c r="P32" s="151">
        <f t="shared" si="76"/>
        <v>136800</v>
      </c>
      <c r="Q32" s="151">
        <v>14.35</v>
      </c>
      <c r="R32" s="151">
        <f t="shared" si="77"/>
        <v>143500</v>
      </c>
      <c r="S32" s="153">
        <v>10.379908</v>
      </c>
      <c r="T32" s="151">
        <f t="shared" si="78"/>
        <v>103799.08</v>
      </c>
      <c r="U32" s="152">
        <v>13.61</v>
      </c>
      <c r="V32" s="151">
        <f t="shared" si="79"/>
        <v>136100</v>
      </c>
      <c r="W32" s="151">
        <v>15</v>
      </c>
      <c r="X32" s="151">
        <f t="shared" si="80"/>
        <v>150000</v>
      </c>
      <c r="Y32" s="151">
        <v>14</v>
      </c>
      <c r="Z32" s="151">
        <f t="shared" si="81"/>
        <v>140000</v>
      </c>
      <c r="AA32" s="154">
        <v>7.79545</v>
      </c>
      <c r="AB32" s="151">
        <f t="shared" si="82"/>
        <v>77954.5</v>
      </c>
      <c r="AC32" s="151">
        <v>15.35</v>
      </c>
      <c r="AD32" s="151">
        <f t="shared" si="83"/>
        <v>153500</v>
      </c>
      <c r="AE32" s="155">
        <f t="shared" si="84"/>
        <v>8.263177</v>
      </c>
      <c r="AF32" s="151">
        <f t="shared" si="85"/>
        <v>82631.77</v>
      </c>
      <c r="AG32" s="156"/>
    </row>
    <row r="33" s="10" customFormat="1" ht="39" customHeight="1" outlineLevel="2" spans="1:36">
      <c r="A33" s="149">
        <v>5.4</v>
      </c>
      <c r="B33" s="149" t="s">
        <v>81</v>
      </c>
      <c r="C33" s="158" t="s">
        <v>78</v>
      </c>
      <c r="D33" s="158" t="s">
        <v>79</v>
      </c>
      <c r="E33" s="149" t="s">
        <v>80</v>
      </c>
      <c r="F33" s="150">
        <v>1000</v>
      </c>
      <c r="G33" s="151">
        <v>22.40375</v>
      </c>
      <c r="H33" s="151">
        <f t="shared" si="72"/>
        <v>22403.75</v>
      </c>
      <c r="I33" s="151">
        <v>20.725</v>
      </c>
      <c r="J33" s="151">
        <f t="shared" si="73"/>
        <v>20725</v>
      </c>
      <c r="K33" s="152">
        <v>14.3</v>
      </c>
      <c r="L33" s="151">
        <f t="shared" si="74"/>
        <v>14300</v>
      </c>
      <c r="M33" s="151">
        <v>21.2</v>
      </c>
      <c r="N33" s="151">
        <f t="shared" si="75"/>
        <v>21200</v>
      </c>
      <c r="O33" s="151">
        <v>15.96</v>
      </c>
      <c r="P33" s="151">
        <f t="shared" si="76"/>
        <v>15960</v>
      </c>
      <c r="Q33" s="151">
        <v>17.9</v>
      </c>
      <c r="R33" s="151">
        <f t="shared" si="77"/>
        <v>17900</v>
      </c>
      <c r="S33" s="153">
        <v>12.37168</v>
      </c>
      <c r="T33" s="151">
        <f t="shared" si="78"/>
        <v>12371.68</v>
      </c>
      <c r="U33" s="152">
        <v>17.38</v>
      </c>
      <c r="V33" s="151">
        <f t="shared" si="79"/>
        <v>17380</v>
      </c>
      <c r="W33" s="151">
        <v>20</v>
      </c>
      <c r="X33" s="151">
        <f t="shared" si="80"/>
        <v>20000</v>
      </c>
      <c r="Y33" s="151">
        <v>18</v>
      </c>
      <c r="Z33" s="151">
        <f t="shared" si="81"/>
        <v>18000</v>
      </c>
      <c r="AA33" s="154">
        <v>10.9957</v>
      </c>
      <c r="AB33" s="151">
        <f t="shared" si="82"/>
        <v>10995.7</v>
      </c>
      <c r="AC33" s="151">
        <v>20.06</v>
      </c>
      <c r="AD33" s="151">
        <f t="shared" si="83"/>
        <v>20060</v>
      </c>
      <c r="AE33" s="155">
        <f t="shared" si="84"/>
        <v>11.655442</v>
      </c>
      <c r="AF33" s="151">
        <f t="shared" si="85"/>
        <v>11655.442</v>
      </c>
      <c r="AG33" s="156"/>
    </row>
    <row r="34" s="10" customFormat="1" ht="39" customHeight="1" outlineLevel="2" spans="1:36">
      <c r="A34" s="149">
        <v>5.5</v>
      </c>
      <c r="B34" s="149" t="s">
        <v>82</v>
      </c>
      <c r="C34" s="158" t="s">
        <v>78</v>
      </c>
      <c r="D34" s="158" t="s">
        <v>79</v>
      </c>
      <c r="E34" s="149" t="s">
        <v>80</v>
      </c>
      <c r="F34" s="150">
        <v>12000</v>
      </c>
      <c r="G34" s="151">
        <v>12.866875</v>
      </c>
      <c r="H34" s="151">
        <f t="shared" si="72"/>
        <v>154402.5</v>
      </c>
      <c r="I34" s="151">
        <v>15.4</v>
      </c>
      <c r="J34" s="151">
        <f t="shared" si="73"/>
        <v>184800</v>
      </c>
      <c r="K34" s="152">
        <v>12.1</v>
      </c>
      <c r="L34" s="151">
        <f t="shared" si="74"/>
        <v>145200</v>
      </c>
      <c r="M34" s="151">
        <v>7.91</v>
      </c>
      <c r="N34" s="151">
        <f t="shared" si="75"/>
        <v>94920</v>
      </c>
      <c r="O34" s="151">
        <v>8.88</v>
      </c>
      <c r="P34" s="151">
        <f t="shared" si="76"/>
        <v>106560</v>
      </c>
      <c r="Q34" s="151">
        <v>7.75</v>
      </c>
      <c r="R34" s="151">
        <f t="shared" si="77"/>
        <v>93000</v>
      </c>
      <c r="S34" s="153">
        <v>6.907928</v>
      </c>
      <c r="T34" s="151">
        <f t="shared" si="78"/>
        <v>82895.136</v>
      </c>
      <c r="U34" s="152">
        <v>6.136</v>
      </c>
      <c r="V34" s="151">
        <f t="shared" si="79"/>
        <v>73632</v>
      </c>
      <c r="W34" s="151">
        <v>5</v>
      </c>
      <c r="X34" s="151">
        <f t="shared" si="80"/>
        <v>60000</v>
      </c>
      <c r="Y34" s="151">
        <v>4.8</v>
      </c>
      <c r="Z34" s="151">
        <f t="shared" si="81"/>
        <v>57600</v>
      </c>
      <c r="AA34" s="154">
        <v>3.6</v>
      </c>
      <c r="AB34" s="151">
        <f t="shared" si="82"/>
        <v>43200</v>
      </c>
      <c r="AC34" s="151">
        <v>8.96</v>
      </c>
      <c r="AD34" s="151">
        <f t="shared" si="83"/>
        <v>107520</v>
      </c>
      <c r="AE34" s="155">
        <f t="shared" si="84"/>
        <v>3.816</v>
      </c>
      <c r="AF34" s="151">
        <f t="shared" si="85"/>
        <v>45792</v>
      </c>
      <c r="AG34" s="156"/>
    </row>
    <row r="35" s="10" customFormat="1" ht="39" customHeight="1" outlineLevel="2" spans="1:36">
      <c r="A35" s="149">
        <v>5.6</v>
      </c>
      <c r="B35" s="149" t="s">
        <v>83</v>
      </c>
      <c r="C35" s="158" t="s">
        <v>84</v>
      </c>
      <c r="D35" s="158" t="s">
        <v>85</v>
      </c>
      <c r="E35" s="149" t="s">
        <v>74</v>
      </c>
      <c r="F35" s="150">
        <v>425.54</v>
      </c>
      <c r="G35" s="151">
        <v>2268.4375</v>
      </c>
      <c r="H35" s="151">
        <f t="shared" si="72"/>
        <v>965310.89375</v>
      </c>
      <c r="I35" s="151">
        <v>1228.8</v>
      </c>
      <c r="J35" s="151">
        <f t="shared" si="73"/>
        <v>522903.552</v>
      </c>
      <c r="K35" s="152">
        <v>2200</v>
      </c>
      <c r="L35" s="151">
        <f t="shared" si="74"/>
        <v>936188</v>
      </c>
      <c r="M35" s="151">
        <v>932.7</v>
      </c>
      <c r="N35" s="151">
        <f t="shared" si="75"/>
        <v>396901.158</v>
      </c>
      <c r="O35" s="151">
        <v>1776</v>
      </c>
      <c r="P35" s="151">
        <f t="shared" si="76"/>
        <v>755759.04</v>
      </c>
      <c r="Q35" s="151">
        <v>1192</v>
      </c>
      <c r="R35" s="151">
        <f t="shared" si="77"/>
        <v>507243.68</v>
      </c>
      <c r="S35" s="153">
        <v>1465.3936</v>
      </c>
      <c r="T35" s="151">
        <f t="shared" si="78"/>
        <v>623583.592544</v>
      </c>
      <c r="U35" s="152">
        <v>1079.292</v>
      </c>
      <c r="V35" s="151">
        <f t="shared" si="79"/>
        <v>459281.91768</v>
      </c>
      <c r="W35" s="151">
        <v>1280</v>
      </c>
      <c r="X35" s="151">
        <f t="shared" si="80"/>
        <v>544691.2</v>
      </c>
      <c r="Y35" s="151">
        <v>1200</v>
      </c>
      <c r="Z35" s="151">
        <f t="shared" si="81"/>
        <v>510648</v>
      </c>
      <c r="AA35" s="154">
        <v>1080</v>
      </c>
      <c r="AB35" s="151">
        <f t="shared" si="82"/>
        <v>459583.2</v>
      </c>
      <c r="AC35" s="151">
        <v>550.2</v>
      </c>
      <c r="AD35" s="151">
        <f t="shared" si="83"/>
        <v>234132.108</v>
      </c>
      <c r="AE35" s="155">
        <f t="shared" si="84"/>
        <v>1144.8</v>
      </c>
      <c r="AF35" s="151">
        <f t="shared" si="85"/>
        <v>487158.192</v>
      </c>
      <c r="AG35" s="156"/>
    </row>
    <row r="36" s="10" customFormat="1" ht="39" customHeight="1" outlineLevel="2" spans="1:36">
      <c r="A36" s="149">
        <v>5.7</v>
      </c>
      <c r="B36" s="149" t="s">
        <v>86</v>
      </c>
      <c r="C36" s="158" t="s">
        <v>87</v>
      </c>
      <c r="D36" s="158" t="s">
        <v>88</v>
      </c>
      <c r="E36" s="149" t="s">
        <v>89</v>
      </c>
      <c r="F36" s="150">
        <f>36*5*2</f>
        <v>360</v>
      </c>
      <c r="G36" s="151">
        <v>116.6875</v>
      </c>
      <c r="H36" s="151">
        <f t="shared" si="72"/>
        <v>42007.5</v>
      </c>
      <c r="I36" s="151">
        <v>87.92</v>
      </c>
      <c r="J36" s="151">
        <f t="shared" si="73"/>
        <v>31651.2</v>
      </c>
      <c r="K36" s="152">
        <v>41.8</v>
      </c>
      <c r="L36" s="151">
        <f t="shared" si="74"/>
        <v>15048</v>
      </c>
      <c r="M36" s="151">
        <v>81.05</v>
      </c>
      <c r="N36" s="151">
        <f t="shared" si="75"/>
        <v>29178</v>
      </c>
      <c r="O36" s="151">
        <v>53.28</v>
      </c>
      <c r="P36" s="151">
        <f t="shared" si="76"/>
        <v>19180.8</v>
      </c>
      <c r="Q36" s="151">
        <v>41.7</v>
      </c>
      <c r="R36" s="151">
        <f t="shared" si="77"/>
        <v>15012</v>
      </c>
      <c r="S36" s="153">
        <v>31.17416</v>
      </c>
      <c r="T36" s="151">
        <f t="shared" si="78"/>
        <v>11222.6976</v>
      </c>
      <c r="U36" s="152">
        <v>16.5</v>
      </c>
      <c r="V36" s="151">
        <f t="shared" si="79"/>
        <v>5940</v>
      </c>
      <c r="W36" s="151">
        <v>48</v>
      </c>
      <c r="X36" s="151">
        <f t="shared" si="80"/>
        <v>17280</v>
      </c>
      <c r="Y36" s="151">
        <v>46</v>
      </c>
      <c r="Z36" s="151">
        <f t="shared" si="81"/>
        <v>16560</v>
      </c>
      <c r="AA36" s="154">
        <v>35</v>
      </c>
      <c r="AB36" s="151">
        <f t="shared" si="82"/>
        <v>12600</v>
      </c>
      <c r="AC36" s="151">
        <v>30.81</v>
      </c>
      <c r="AD36" s="151">
        <f t="shared" si="83"/>
        <v>11091.6</v>
      </c>
      <c r="AE36" s="155">
        <f t="shared" si="84"/>
        <v>37.1</v>
      </c>
      <c r="AF36" s="151">
        <f t="shared" si="85"/>
        <v>13356</v>
      </c>
      <c r="AG36" s="156"/>
    </row>
    <row r="37" s="10" customFormat="1" ht="39" customHeight="1" outlineLevel="2" spans="1:36">
      <c r="A37" s="149">
        <v>5.8</v>
      </c>
      <c r="B37" s="149" t="s">
        <v>90</v>
      </c>
      <c r="C37" s="158" t="s">
        <v>91</v>
      </c>
      <c r="D37" s="158" t="s">
        <v>92</v>
      </c>
      <c r="E37" s="149" t="s">
        <v>89</v>
      </c>
      <c r="F37" s="150">
        <f>36*5*2</f>
        <v>360</v>
      </c>
      <c r="G37" s="151">
        <v>66.9375</v>
      </c>
      <c r="H37" s="151">
        <f t="shared" si="72"/>
        <v>24097.5</v>
      </c>
      <c r="I37" s="151">
        <v>80.224</v>
      </c>
      <c r="J37" s="151">
        <f t="shared" si="73"/>
        <v>28880.64</v>
      </c>
      <c r="K37" s="152">
        <v>24.2</v>
      </c>
      <c r="L37" s="151">
        <f t="shared" si="74"/>
        <v>8712</v>
      </c>
      <c r="M37" s="151">
        <v>77.87</v>
      </c>
      <c r="N37" s="151">
        <f t="shared" si="75"/>
        <v>28033.2</v>
      </c>
      <c r="O37" s="151">
        <v>29.97</v>
      </c>
      <c r="P37" s="151">
        <f t="shared" si="76"/>
        <v>10789.2</v>
      </c>
      <c r="Q37" s="151">
        <v>41.2</v>
      </c>
      <c r="R37" s="151">
        <f t="shared" si="77"/>
        <v>14832</v>
      </c>
      <c r="S37" s="153">
        <v>21.68788</v>
      </c>
      <c r="T37" s="151">
        <f t="shared" si="78"/>
        <v>7807.6368</v>
      </c>
      <c r="U37" s="152">
        <v>16.5</v>
      </c>
      <c r="V37" s="151">
        <f t="shared" si="79"/>
        <v>5940</v>
      </c>
      <c r="W37" s="151">
        <v>5</v>
      </c>
      <c r="X37" s="151">
        <f t="shared" si="80"/>
        <v>1800</v>
      </c>
      <c r="Y37" s="151">
        <v>3.5</v>
      </c>
      <c r="Z37" s="151">
        <f t="shared" si="81"/>
        <v>1260</v>
      </c>
      <c r="AA37" s="154">
        <v>10</v>
      </c>
      <c r="AB37" s="151">
        <f t="shared" si="82"/>
        <v>3600</v>
      </c>
      <c r="AC37" s="151">
        <v>15.23</v>
      </c>
      <c r="AD37" s="151">
        <f t="shared" si="83"/>
        <v>5482.8</v>
      </c>
      <c r="AE37" s="155">
        <f t="shared" si="84"/>
        <v>10.6</v>
      </c>
      <c r="AF37" s="151">
        <f t="shared" si="85"/>
        <v>3816</v>
      </c>
      <c r="AG37" s="156"/>
    </row>
    <row r="38" s="12" customFormat="1" ht="25" customHeight="1" outlineLevel="1" spans="1:36">
      <c r="A38" s="106">
        <v>2</v>
      </c>
      <c r="B38" s="141" t="s">
        <v>93</v>
      </c>
      <c r="C38" s="142"/>
      <c r="D38" s="142"/>
      <c r="E38" s="141"/>
      <c r="F38" s="129"/>
      <c r="G38" s="143"/>
      <c r="H38" s="143">
        <f t="shared" ref="H38:L38" si="86">SUM(H39:H42)</f>
        <v>2229286.5</v>
      </c>
      <c r="I38" s="143"/>
      <c r="J38" s="143">
        <f t="shared" si="86"/>
        <v>1456896</v>
      </c>
      <c r="K38" s="112"/>
      <c r="L38" s="143">
        <f t="shared" si="86"/>
        <v>1434906</v>
      </c>
      <c r="M38" s="143"/>
      <c r="N38" s="143">
        <f>SUM(N39:N42)</f>
        <v>2254927.8</v>
      </c>
      <c r="O38" s="143"/>
      <c r="P38" s="143">
        <f>SUM(P39:P42)</f>
        <v>1320345</v>
      </c>
      <c r="Q38" s="143"/>
      <c r="R38" s="143">
        <f t="shared" ref="R38:V38" si="87">SUM(R39:R42)</f>
        <v>2198688</v>
      </c>
      <c r="S38" s="144"/>
      <c r="T38" s="143">
        <f t="shared" si="87"/>
        <v>2228537.376</v>
      </c>
      <c r="U38" s="112"/>
      <c r="V38" s="143">
        <f t="shared" si="87"/>
        <v>2549164.8</v>
      </c>
      <c r="W38" s="143"/>
      <c r="X38" s="143">
        <f>SUM(X39:X42)</f>
        <v>1479600</v>
      </c>
      <c r="Y38" s="143"/>
      <c r="Z38" s="143">
        <f t="shared" ref="Z38:AD38" si="88">SUM(Z39:Z42)</f>
        <v>1296240</v>
      </c>
      <c r="AA38" s="138"/>
      <c r="AB38" s="143">
        <f t="shared" si="88"/>
        <v>1114388.89154704</v>
      </c>
      <c r="AC38" s="143"/>
      <c r="AD38" s="143">
        <f t="shared" si="88"/>
        <v>2110538.57850615</v>
      </c>
      <c r="AE38" s="145"/>
      <c r="AF38" s="143">
        <f>SUM(AF39:AF42)</f>
        <v>1181252.22503986</v>
      </c>
      <c r="AG38" s="107"/>
    </row>
    <row r="39" s="10" customFormat="1" ht="122" customHeight="1" outlineLevel="2" spans="1:36">
      <c r="A39" s="149">
        <v>6.1</v>
      </c>
      <c r="B39" s="149" t="s">
        <v>94</v>
      </c>
      <c r="C39" s="178" t="s">
        <v>95</v>
      </c>
      <c r="D39" s="158" t="s">
        <v>96</v>
      </c>
      <c r="E39" s="149" t="s">
        <v>42</v>
      </c>
      <c r="F39" s="150">
        <f>48000*0.06</f>
        <v>2880</v>
      </c>
      <c r="G39" s="151">
        <v>75.8625</v>
      </c>
      <c r="H39" s="151">
        <f t="shared" ref="H39:H42" si="89">+$F39*G39</f>
        <v>218484</v>
      </c>
      <c r="I39" s="151">
        <v>48.64</v>
      </c>
      <c r="J39" s="151">
        <f t="shared" ref="J39:J42" si="90">+$F39*I39</f>
        <v>140083.2</v>
      </c>
      <c r="K39" s="152">
        <v>57.2</v>
      </c>
      <c r="L39" s="151">
        <f t="shared" ref="L39:L42" si="91">+$F39*K39</f>
        <v>164736</v>
      </c>
      <c r="M39" s="151">
        <v>87.24</v>
      </c>
      <c r="N39" s="151">
        <f t="shared" ref="N39:N42" si="92">+$F39*M39</f>
        <v>251251.2</v>
      </c>
      <c r="O39" s="151">
        <v>46.62</v>
      </c>
      <c r="P39" s="151">
        <f>+$F39*O39</f>
        <v>134265.6</v>
      </c>
      <c r="Q39" s="151">
        <v>84.5</v>
      </c>
      <c r="R39" s="151">
        <f t="shared" ref="R39:R42" si="93">+$F39*Q39</f>
        <v>243360</v>
      </c>
      <c r="S39" s="153">
        <v>58.32768</v>
      </c>
      <c r="T39" s="151">
        <f>+$F39*S39</f>
        <v>167983.7184</v>
      </c>
      <c r="U39" s="152">
        <v>108.64</v>
      </c>
      <c r="V39" s="151">
        <f t="shared" ref="V39:V42" si="94">+$F39*U39</f>
        <v>312883.2</v>
      </c>
      <c r="W39" s="151">
        <v>45</v>
      </c>
      <c r="X39" s="151">
        <f>+$F39*W39</f>
        <v>129600</v>
      </c>
      <c r="Y39" s="151">
        <v>45</v>
      </c>
      <c r="Z39" s="151">
        <f t="shared" ref="Z39:AD39" si="95">+$F39*Y39</f>
        <v>129600</v>
      </c>
      <c r="AA39" s="154">
        <v>40</v>
      </c>
      <c r="AB39" s="151">
        <f t="shared" si="95"/>
        <v>115200</v>
      </c>
      <c r="AC39" s="151">
        <v>93.9646347865213</v>
      </c>
      <c r="AD39" s="151">
        <f t="shared" si="95"/>
        <v>270618.148185181</v>
      </c>
      <c r="AE39" s="155">
        <f t="shared" ref="AE39:AE42" si="96">+AA39*1.06</f>
        <v>42.4</v>
      </c>
      <c r="AF39" s="151">
        <f>+$F39*AE39</f>
        <v>122112</v>
      </c>
      <c r="AG39" s="156"/>
    </row>
    <row r="40" s="10" customFormat="1" ht="136" customHeight="1" outlineLevel="2" spans="1:36">
      <c r="A40" s="149">
        <v>6.2</v>
      </c>
      <c r="B40" s="149" t="s">
        <v>97</v>
      </c>
      <c r="C40" s="158"/>
      <c r="D40" s="158" t="s">
        <v>96</v>
      </c>
      <c r="E40" s="149" t="s">
        <v>42</v>
      </c>
      <c r="F40" s="150">
        <f>0.32*48000</f>
        <v>15360</v>
      </c>
      <c r="G40" s="151">
        <v>84.7875</v>
      </c>
      <c r="H40" s="151">
        <f t="shared" si="89"/>
        <v>1302336</v>
      </c>
      <c r="I40" s="151">
        <v>48.64</v>
      </c>
      <c r="J40" s="151">
        <f t="shared" si="90"/>
        <v>747110.4</v>
      </c>
      <c r="K40" s="152">
        <v>64.9</v>
      </c>
      <c r="L40" s="151">
        <f t="shared" si="91"/>
        <v>996864</v>
      </c>
      <c r="M40" s="151">
        <v>103.53</v>
      </c>
      <c r="N40" s="151">
        <f t="shared" si="92"/>
        <v>1590220.8</v>
      </c>
      <c r="O40" s="151">
        <v>61.05</v>
      </c>
      <c r="P40" s="151">
        <f>+$F40*O40</f>
        <v>937728</v>
      </c>
      <c r="Q40" s="151">
        <v>95.4</v>
      </c>
      <c r="R40" s="151">
        <f t="shared" si="93"/>
        <v>1465344</v>
      </c>
      <c r="S40" s="153">
        <v>71.71944</v>
      </c>
      <c r="T40" s="151">
        <f>+$F40*S40</f>
        <v>1101610.5984</v>
      </c>
      <c r="U40" s="152">
        <v>108.64</v>
      </c>
      <c r="V40" s="151">
        <f t="shared" si="94"/>
        <v>1668710.4</v>
      </c>
      <c r="W40" s="151">
        <v>55</v>
      </c>
      <c r="X40" s="151">
        <f>+$F40*W40</f>
        <v>844800</v>
      </c>
      <c r="Y40" s="151">
        <v>52</v>
      </c>
      <c r="Z40" s="151">
        <f t="shared" ref="Z40:AD40" si="97">+$F40*Y40</f>
        <v>798720</v>
      </c>
      <c r="AA40" s="154">
        <v>50</v>
      </c>
      <c r="AB40" s="151">
        <f t="shared" si="97"/>
        <v>768000</v>
      </c>
      <c r="AC40" s="151">
        <f>+AC39</f>
        <v>93.9646347865213</v>
      </c>
      <c r="AD40" s="151">
        <f t="shared" si="97"/>
        <v>1443296.79032097</v>
      </c>
      <c r="AE40" s="155">
        <f t="shared" si="96"/>
        <v>53</v>
      </c>
      <c r="AF40" s="151">
        <f>+$F40*AE40</f>
        <v>814080</v>
      </c>
      <c r="AG40" s="156"/>
    </row>
    <row r="41" s="10" customFormat="1" ht="57" customHeight="1" outlineLevel="2" spans="1:36">
      <c r="A41" s="149">
        <v>6.3</v>
      </c>
      <c r="B41" s="149" t="s">
        <v>98</v>
      </c>
      <c r="C41" s="158" t="s">
        <v>99</v>
      </c>
      <c r="D41" s="158" t="s">
        <v>100</v>
      </c>
      <c r="E41" s="149" t="s">
        <v>47</v>
      </c>
      <c r="F41" s="150">
        <f>0.006*48000/0.1</f>
        <v>2880</v>
      </c>
      <c r="G41" s="151">
        <v>83.3</v>
      </c>
      <c r="H41" s="151">
        <f t="shared" si="89"/>
        <v>239904</v>
      </c>
      <c r="I41" s="151">
        <v>20.48</v>
      </c>
      <c r="J41" s="151">
        <f t="shared" si="90"/>
        <v>58982.4</v>
      </c>
      <c r="K41" s="152">
        <v>18.7</v>
      </c>
      <c r="L41" s="151">
        <f t="shared" si="91"/>
        <v>53856</v>
      </c>
      <c r="M41" s="151">
        <v>13.66</v>
      </c>
      <c r="N41" s="151">
        <f t="shared" si="92"/>
        <v>39340.8</v>
      </c>
      <c r="O41" s="151">
        <v>25.53</v>
      </c>
      <c r="P41" s="151">
        <f>+$F41*O41</f>
        <v>73526.4</v>
      </c>
      <c r="Q41" s="151">
        <v>24.3</v>
      </c>
      <c r="R41" s="151">
        <f t="shared" si="93"/>
        <v>69984</v>
      </c>
      <c r="S41" s="153">
        <v>13.98684</v>
      </c>
      <c r="T41" s="151">
        <f>+$F41*S41</f>
        <v>40282.0992</v>
      </c>
      <c r="U41" s="152">
        <v>19.04</v>
      </c>
      <c r="V41" s="151">
        <f t="shared" si="94"/>
        <v>54835.2</v>
      </c>
      <c r="W41" s="151">
        <v>15</v>
      </c>
      <c r="X41" s="151">
        <f>+$F41*W41</f>
        <v>43200</v>
      </c>
      <c r="Y41" s="151">
        <v>14</v>
      </c>
      <c r="Z41" s="151">
        <f t="shared" ref="Z41:AD41" si="98">+$F41*Y41</f>
        <v>40320</v>
      </c>
      <c r="AA41" s="154">
        <v>11</v>
      </c>
      <c r="AB41" s="151">
        <f t="shared" si="98"/>
        <v>31680</v>
      </c>
      <c r="AC41" s="151">
        <f>86.03*0.1</f>
        <v>8.603</v>
      </c>
      <c r="AD41" s="151">
        <f t="shared" si="98"/>
        <v>24776.64</v>
      </c>
      <c r="AE41" s="155">
        <f t="shared" si="96"/>
        <v>11.66</v>
      </c>
      <c r="AF41" s="151">
        <f>+$F41*AE41</f>
        <v>33580.8</v>
      </c>
      <c r="AG41" s="156"/>
    </row>
    <row r="42" s="10" customFormat="1" ht="50" customHeight="1" outlineLevel="2" spans="1:36">
      <c r="A42" s="149">
        <v>6.4</v>
      </c>
      <c r="B42" s="149" t="s">
        <v>101</v>
      </c>
      <c r="C42" s="158" t="s">
        <v>102</v>
      </c>
      <c r="D42" s="158" t="s">
        <v>103</v>
      </c>
      <c r="E42" s="149" t="s">
        <v>42</v>
      </c>
      <c r="F42" s="150">
        <v>2100</v>
      </c>
      <c r="G42" s="151">
        <v>223.125</v>
      </c>
      <c r="H42" s="151">
        <f t="shared" si="89"/>
        <v>468562.5</v>
      </c>
      <c r="I42" s="151">
        <v>243.2</v>
      </c>
      <c r="J42" s="151">
        <f t="shared" si="90"/>
        <v>510720</v>
      </c>
      <c r="K42" s="152">
        <v>104.5</v>
      </c>
      <c r="L42" s="151">
        <f t="shared" si="91"/>
        <v>219450</v>
      </c>
      <c r="M42" s="151">
        <v>178.15</v>
      </c>
      <c r="N42" s="151">
        <f t="shared" si="92"/>
        <v>374115</v>
      </c>
      <c r="O42" s="151">
        <v>83.25</v>
      </c>
      <c r="P42" s="151">
        <f>+$F42*O42</f>
        <v>174825</v>
      </c>
      <c r="Q42" s="151">
        <v>200</v>
      </c>
      <c r="R42" s="151">
        <f t="shared" si="93"/>
        <v>420000</v>
      </c>
      <c r="S42" s="153">
        <v>437.4576</v>
      </c>
      <c r="T42" s="151">
        <f>+$F42*S42</f>
        <v>918660.96</v>
      </c>
      <c r="U42" s="152">
        <v>244.16</v>
      </c>
      <c r="V42" s="151">
        <f t="shared" si="94"/>
        <v>512736</v>
      </c>
      <c r="W42" s="151">
        <v>220</v>
      </c>
      <c r="X42" s="151">
        <f>+$F42*W42</f>
        <v>462000</v>
      </c>
      <c r="Y42" s="151">
        <v>156</v>
      </c>
      <c r="Z42" s="151">
        <f t="shared" ref="Z42:AD42" si="99">+$F42*Y42</f>
        <v>327600</v>
      </c>
      <c r="AA42" s="154">
        <v>95.0042340700199</v>
      </c>
      <c r="AB42" s="151">
        <f t="shared" si="99"/>
        <v>199508.891547042</v>
      </c>
      <c r="AC42" s="151">
        <v>177.07</v>
      </c>
      <c r="AD42" s="151">
        <f t="shared" si="99"/>
        <v>371847</v>
      </c>
      <c r="AE42" s="155">
        <f t="shared" si="96"/>
        <v>100.704488114221</v>
      </c>
      <c r="AF42" s="151">
        <f>+$F42*AE42</f>
        <v>211479.425039864</v>
      </c>
      <c r="AG42" s="156"/>
    </row>
    <row r="43" s="12" customFormat="1" ht="25" customHeight="1" outlineLevel="1" spans="1:36">
      <c r="A43" s="179">
        <v>3</v>
      </c>
      <c r="B43" s="107" t="s">
        <v>65</v>
      </c>
      <c r="C43" s="49"/>
      <c r="D43" s="164"/>
      <c r="E43" s="107"/>
      <c r="F43" s="129"/>
      <c r="G43" s="143"/>
      <c r="H43" s="143">
        <f t="shared" ref="H43:L43" si="100">H29+H38</f>
        <v>8502795.34375</v>
      </c>
      <c r="I43" s="143"/>
      <c r="J43" s="143">
        <f t="shared" si="100"/>
        <v>5758918.392</v>
      </c>
      <c r="K43" s="112"/>
      <c r="L43" s="143">
        <f t="shared" si="100"/>
        <v>5911554</v>
      </c>
      <c r="M43" s="143"/>
      <c r="N43" s="143">
        <f>N29+N38</f>
        <v>6134910.718</v>
      </c>
      <c r="O43" s="143"/>
      <c r="P43" s="143">
        <f>P29+P38</f>
        <v>5624798.04</v>
      </c>
      <c r="Q43" s="143"/>
      <c r="R43" s="143">
        <f t="shared" ref="R43:V43" si="101">R29+R38</f>
        <v>6956727.68</v>
      </c>
      <c r="S43" s="144"/>
      <c r="T43" s="143">
        <f t="shared" si="101"/>
        <v>6598069.070944</v>
      </c>
      <c r="U43" s="112"/>
      <c r="V43" s="143">
        <f t="shared" si="101"/>
        <v>6174478.62168</v>
      </c>
      <c r="W43" s="143"/>
      <c r="X43" s="143">
        <f>X29+X38</f>
        <v>5518027.2</v>
      </c>
      <c r="Y43" s="143"/>
      <c r="Z43" s="143">
        <f t="shared" ref="Z43:AD43" si="102">Z29+Z38</f>
        <v>5014100</v>
      </c>
      <c r="AA43" s="138"/>
      <c r="AB43" s="143">
        <f t="shared" si="102"/>
        <v>4451122.29154704</v>
      </c>
      <c r="AC43" s="143"/>
      <c r="AD43" s="143">
        <f t="shared" si="102"/>
        <v>5634645.41650614</v>
      </c>
      <c r="AE43" s="145"/>
      <c r="AF43" s="143">
        <f>AF29+AF38</f>
        <v>4718189.62903986</v>
      </c>
      <c r="AG43" s="107"/>
    </row>
    <row r="44" s="12" customFormat="1" ht="25" customHeight="1" outlineLevel="1" spans="1:36">
      <c r="A44" s="179">
        <v>4</v>
      </c>
      <c r="B44" s="107" t="s">
        <v>66</v>
      </c>
      <c r="C44" s="49"/>
      <c r="D44" s="164"/>
      <c r="E44" s="107"/>
      <c r="F44" s="180"/>
      <c r="G44" s="181">
        <v>0.09</v>
      </c>
      <c r="H44" s="143">
        <f t="shared" ref="H44:L44" si="103">H43*G44</f>
        <v>765251.5809375</v>
      </c>
      <c r="I44" s="181">
        <v>0.09</v>
      </c>
      <c r="J44" s="143">
        <f t="shared" si="103"/>
        <v>518302.65528</v>
      </c>
      <c r="K44" s="182">
        <v>0.09</v>
      </c>
      <c r="L44" s="143">
        <f t="shared" si="103"/>
        <v>532039.86</v>
      </c>
      <c r="M44" s="181">
        <v>0.09</v>
      </c>
      <c r="N44" s="143">
        <f>N43*M44</f>
        <v>552141.96462</v>
      </c>
      <c r="O44" s="181">
        <v>0.09</v>
      </c>
      <c r="P44" s="143">
        <f>P43*O44</f>
        <v>506231.8236</v>
      </c>
      <c r="Q44" s="181">
        <v>0.09</v>
      </c>
      <c r="R44" s="143">
        <f t="shared" ref="R44:V44" si="104">R43*Q44</f>
        <v>626105.4912</v>
      </c>
      <c r="S44" s="183">
        <v>0.03</v>
      </c>
      <c r="T44" s="143">
        <f t="shared" si="104"/>
        <v>197942.07212832</v>
      </c>
      <c r="U44" s="182">
        <v>0.03</v>
      </c>
      <c r="V44" s="143">
        <f t="shared" si="104"/>
        <v>185234.3586504</v>
      </c>
      <c r="W44" s="181">
        <v>0.03</v>
      </c>
      <c r="X44" s="143">
        <f>X43*W44</f>
        <v>165540.816</v>
      </c>
      <c r="Y44" s="181">
        <v>0.03</v>
      </c>
      <c r="Z44" s="143">
        <f t="shared" ref="Z44:AD44" si="105">Z43*Y44</f>
        <v>150423</v>
      </c>
      <c r="AA44" s="174">
        <v>0.09</v>
      </c>
      <c r="AB44" s="143">
        <f t="shared" si="105"/>
        <v>400601.006239234</v>
      </c>
      <c r="AC44" s="174">
        <v>0.09</v>
      </c>
      <c r="AD44" s="143">
        <f t="shared" si="105"/>
        <v>507118.087485553</v>
      </c>
      <c r="AE44" s="181">
        <v>0.03</v>
      </c>
      <c r="AF44" s="143">
        <f>AF43*AE44</f>
        <v>141545.688871196</v>
      </c>
      <c r="AG44" s="107"/>
    </row>
    <row r="45" s="12" customFormat="1" ht="25" customHeight="1" outlineLevel="1" spans="1:36">
      <c r="A45" s="179">
        <v>5</v>
      </c>
      <c r="B45" s="107" t="s">
        <v>67</v>
      </c>
      <c r="C45" s="49"/>
      <c r="D45" s="164"/>
      <c r="E45" s="107"/>
      <c r="F45" s="129"/>
      <c r="G45" s="143"/>
      <c r="H45" s="143">
        <f t="shared" ref="H45:L45" si="106">H43+H44</f>
        <v>9268046.9246875</v>
      </c>
      <c r="I45" s="143"/>
      <c r="J45" s="143">
        <f t="shared" si="106"/>
        <v>6277221.04728</v>
      </c>
      <c r="K45" s="112"/>
      <c r="L45" s="143">
        <f t="shared" si="106"/>
        <v>6443593.86</v>
      </c>
      <c r="M45" s="143"/>
      <c r="N45" s="143">
        <f>N43+N44</f>
        <v>6687052.68262</v>
      </c>
      <c r="O45" s="143"/>
      <c r="P45" s="143">
        <f>P43+P44</f>
        <v>6131029.8636</v>
      </c>
      <c r="Q45" s="143"/>
      <c r="R45" s="143">
        <f t="shared" ref="R45:V45" si="107">R43+R44</f>
        <v>7582833.1712</v>
      </c>
      <c r="S45" s="144"/>
      <c r="T45" s="143">
        <f t="shared" si="107"/>
        <v>6796011.14307232</v>
      </c>
      <c r="U45" s="112"/>
      <c r="V45" s="143">
        <f t="shared" si="107"/>
        <v>6359712.9803304</v>
      </c>
      <c r="W45" s="143"/>
      <c r="X45" s="143">
        <f>X43+X44</f>
        <v>5683568.016</v>
      </c>
      <c r="Y45" s="143"/>
      <c r="Z45" s="143">
        <f t="shared" ref="Z45:AD45" si="108">Z43+Z44</f>
        <v>5164523</v>
      </c>
      <c r="AA45" s="138"/>
      <c r="AB45" s="143">
        <f t="shared" si="108"/>
        <v>4851723.29778628</v>
      </c>
      <c r="AC45" s="143"/>
      <c r="AD45" s="143">
        <f t="shared" si="108"/>
        <v>6141763.50399169</v>
      </c>
      <c r="AE45" s="145"/>
      <c r="AF45" s="143">
        <f>AF43+AF44</f>
        <v>4859735.31791106</v>
      </c>
      <c r="AG45" s="107"/>
    </row>
    <row r="46" s="85" customFormat="1" ht="35" customHeight="1" spans="1:36">
      <c r="A46" s="184" t="s">
        <v>104</v>
      </c>
      <c r="B46" s="184" t="s">
        <v>105</v>
      </c>
      <c r="C46" s="185"/>
      <c r="D46" s="185"/>
      <c r="E46" s="186"/>
      <c r="F46" s="187"/>
      <c r="G46" s="188"/>
      <c r="H46" s="135">
        <f t="shared" ref="H46:L46" si="109">H51</f>
        <v>806112.772281152</v>
      </c>
      <c r="I46" s="188"/>
      <c r="J46" s="135">
        <f t="shared" si="109"/>
        <v>602889.4102848</v>
      </c>
      <c r="K46" s="189"/>
      <c r="L46" s="135">
        <f t="shared" si="109"/>
        <v>524528.1622968</v>
      </c>
      <c r="M46" s="188"/>
      <c r="N46" s="135">
        <f>N51</f>
        <v>525925.08536444</v>
      </c>
      <c r="O46" s="188"/>
      <c r="P46" s="135">
        <f>P51</f>
        <v>490762.0407306</v>
      </c>
      <c r="Q46" s="188"/>
      <c r="R46" s="135">
        <f t="shared" ref="R46:V46" si="110">R51</f>
        <v>450629.12632072</v>
      </c>
      <c r="S46" s="190"/>
      <c r="T46" s="135">
        <f t="shared" si="110"/>
        <v>423445.307463862</v>
      </c>
      <c r="U46" s="189"/>
      <c r="V46" s="135">
        <f t="shared" si="110"/>
        <v>422886.428351008</v>
      </c>
      <c r="W46" s="188"/>
      <c r="X46" s="135">
        <f>X51</f>
        <v>381325.350404</v>
      </c>
      <c r="Y46" s="188"/>
      <c r="Z46" s="135">
        <f t="shared" ref="Z46:AD46" si="111">Z51</f>
        <v>341018.125358</v>
      </c>
      <c r="AA46" s="154"/>
      <c r="AB46" s="135">
        <f t="shared" si="111"/>
        <v>352365.262039367</v>
      </c>
      <c r="AC46" s="135"/>
      <c r="AD46" s="135">
        <f t="shared" si="111"/>
        <v>351283.485321</v>
      </c>
      <c r="AE46" s="139"/>
      <c r="AF46" s="135">
        <f>AF51</f>
        <v>373507.177761729</v>
      </c>
      <c r="AG46" s="177"/>
      <c r="AH46" s="140"/>
      <c r="AI46" s="140"/>
      <c r="AJ46" s="140"/>
    </row>
    <row r="47" s="12" customFormat="1" ht="25" customHeight="1" outlineLevel="1" spans="1:36">
      <c r="A47" s="141">
        <v>1</v>
      </c>
      <c r="B47" s="141" t="s">
        <v>105</v>
      </c>
      <c r="C47" s="142"/>
      <c r="D47" s="142"/>
      <c r="E47" s="141"/>
      <c r="F47" s="129"/>
      <c r="G47" s="143"/>
      <c r="H47" s="143">
        <f t="shared" ref="H47:L47" si="112">H48</f>
        <v>739553.0020928</v>
      </c>
      <c r="I47" s="143"/>
      <c r="J47" s="143">
        <f t="shared" si="112"/>
        <v>553109.55072</v>
      </c>
      <c r="K47" s="112"/>
      <c r="L47" s="143">
        <f t="shared" si="112"/>
        <v>481218.49752</v>
      </c>
      <c r="M47" s="143"/>
      <c r="N47" s="143">
        <f>N48</f>
        <v>482500.078316</v>
      </c>
      <c r="O47" s="143"/>
      <c r="P47" s="143">
        <f>P48</f>
        <v>450240.40434</v>
      </c>
      <c r="Q47" s="143"/>
      <c r="R47" s="143">
        <f t="shared" ref="R47:V47" si="113">R48</f>
        <v>413421.216808</v>
      </c>
      <c r="S47" s="144"/>
      <c r="T47" s="143">
        <f t="shared" si="113"/>
        <v>411111.94899404</v>
      </c>
      <c r="U47" s="112"/>
      <c r="V47" s="143">
        <f t="shared" si="113"/>
        <v>410569.3479136</v>
      </c>
      <c r="W47" s="143"/>
      <c r="X47" s="143">
        <f>X48</f>
        <v>370218.7868</v>
      </c>
      <c r="Y47" s="143"/>
      <c r="Z47" s="143">
        <f t="shared" ref="Z47:AD47" si="114">Z48</f>
        <v>331085.5586</v>
      </c>
      <c r="AA47" s="138"/>
      <c r="AB47" s="143">
        <f t="shared" si="114"/>
        <v>323270.882604924</v>
      </c>
      <c r="AC47" s="143"/>
      <c r="AD47" s="143">
        <f t="shared" si="114"/>
        <v>322278.4269</v>
      </c>
      <c r="AE47" s="145"/>
      <c r="AF47" s="143">
        <f>AF48</f>
        <v>342667.135561219</v>
      </c>
      <c r="AG47" s="107"/>
    </row>
    <row r="48" s="10" customFormat="1" ht="409" customHeight="1" outlineLevel="2" spans="1:36">
      <c r="A48" s="149">
        <v>1.1</v>
      </c>
      <c r="B48" s="149" t="s">
        <v>106</v>
      </c>
      <c r="C48" s="158" t="s">
        <v>107</v>
      </c>
      <c r="D48" s="158" t="s">
        <v>108</v>
      </c>
      <c r="E48" s="149" t="s">
        <v>109</v>
      </c>
      <c r="F48" s="191" t="s">
        <v>108</v>
      </c>
      <c r="G48" s="192">
        <v>0.02</v>
      </c>
      <c r="H48" s="151">
        <f t="shared" ref="H48:L48" si="115">(H7+H11+H17+H21+H29+H38)*G48</f>
        <v>739553.0020928</v>
      </c>
      <c r="I48" s="192">
        <v>0.02</v>
      </c>
      <c r="J48" s="151">
        <f t="shared" si="115"/>
        <v>553109.55072</v>
      </c>
      <c r="K48" s="193">
        <v>0.02</v>
      </c>
      <c r="L48" s="151">
        <f t="shared" si="115"/>
        <v>481218.49752</v>
      </c>
      <c r="M48" s="192">
        <v>0.02</v>
      </c>
      <c r="N48" s="151">
        <f>(N7+N11+N17+N21+N29+N38)*M48</f>
        <v>482500.078316</v>
      </c>
      <c r="O48" s="192">
        <v>0.02</v>
      </c>
      <c r="P48" s="151">
        <f>(P7+P11+P17+P21+P29+P38)*O48</f>
        <v>450240.40434</v>
      </c>
      <c r="Q48" s="192">
        <v>0.02</v>
      </c>
      <c r="R48" s="151">
        <f t="shared" ref="R48:V48" si="116">(R7+R11+R17+R21+R29+R38)*Q48</f>
        <v>413421.216808</v>
      </c>
      <c r="S48" s="194">
        <v>0.02</v>
      </c>
      <c r="T48" s="151">
        <f t="shared" si="116"/>
        <v>411111.94899404</v>
      </c>
      <c r="U48" s="193">
        <v>0.02</v>
      </c>
      <c r="V48" s="151">
        <f t="shared" si="116"/>
        <v>410569.3479136</v>
      </c>
      <c r="W48" s="192">
        <v>0.02</v>
      </c>
      <c r="X48" s="151">
        <f>(X7+X11+X17+X21+X29+X38)*W48</f>
        <v>370218.7868</v>
      </c>
      <c r="Y48" s="192">
        <v>0.02</v>
      </c>
      <c r="Z48" s="151">
        <f>(Z7+Z11+Z17+Z21+Z29+Z38)*Y48</f>
        <v>331085.5586</v>
      </c>
      <c r="AA48" s="195">
        <v>0.02</v>
      </c>
      <c r="AB48" s="151">
        <f>(AB7+AB11+AB17+AB21+AB29+AB38)*AA48</f>
        <v>323270.882604924</v>
      </c>
      <c r="AC48" s="151"/>
      <c r="AD48" s="151">
        <f>704433.72*50%*91.5%</f>
        <v>322278.4269</v>
      </c>
      <c r="AE48" s="192">
        <v>0.02</v>
      </c>
      <c r="AF48" s="151">
        <f>(AF7+AF11+AF17+AF21+AF29+AF38)*AE48</f>
        <v>342667.135561219</v>
      </c>
      <c r="AG48" s="159"/>
    </row>
    <row r="49" s="12" customFormat="1" ht="25" customHeight="1" outlineLevel="1" spans="1:36">
      <c r="A49" s="179">
        <v>2</v>
      </c>
      <c r="B49" s="107" t="s">
        <v>65</v>
      </c>
      <c r="C49" s="49"/>
      <c r="D49" s="164"/>
      <c r="E49" s="107"/>
      <c r="F49" s="129"/>
      <c r="G49" s="143"/>
      <c r="H49" s="143">
        <f t="shared" ref="H49:L49" si="117">H47</f>
        <v>739553.0020928</v>
      </c>
      <c r="I49" s="143"/>
      <c r="J49" s="143">
        <f t="shared" si="117"/>
        <v>553109.55072</v>
      </c>
      <c r="K49" s="112"/>
      <c r="L49" s="143">
        <f t="shared" si="117"/>
        <v>481218.49752</v>
      </c>
      <c r="M49" s="143"/>
      <c r="N49" s="143">
        <f>N47</f>
        <v>482500.078316</v>
      </c>
      <c r="O49" s="143"/>
      <c r="P49" s="143">
        <f>P47</f>
        <v>450240.40434</v>
      </c>
      <c r="Q49" s="143"/>
      <c r="R49" s="143">
        <f t="shared" ref="R49:V49" si="118">R47</f>
        <v>413421.216808</v>
      </c>
      <c r="S49" s="144"/>
      <c r="T49" s="143">
        <f t="shared" si="118"/>
        <v>411111.94899404</v>
      </c>
      <c r="U49" s="112"/>
      <c r="V49" s="143">
        <f t="shared" si="118"/>
        <v>410569.3479136</v>
      </c>
      <c r="W49" s="143"/>
      <c r="X49" s="143">
        <f>X47</f>
        <v>370218.7868</v>
      </c>
      <c r="Y49" s="143"/>
      <c r="Z49" s="143">
        <f t="shared" ref="Z49:AD49" si="119">Z47</f>
        <v>331085.5586</v>
      </c>
      <c r="AA49" s="138"/>
      <c r="AB49" s="143">
        <f t="shared" si="119"/>
        <v>323270.882604924</v>
      </c>
      <c r="AC49" s="143"/>
      <c r="AD49" s="143">
        <f t="shared" si="119"/>
        <v>322278.4269</v>
      </c>
      <c r="AE49" s="145"/>
      <c r="AF49" s="143">
        <f>AF47</f>
        <v>342667.135561219</v>
      </c>
      <c r="AG49" s="107"/>
    </row>
    <row r="50" s="12" customFormat="1" ht="25" customHeight="1" outlineLevel="1" spans="1:36">
      <c r="A50" s="179">
        <v>3</v>
      </c>
      <c r="B50" s="107" t="s">
        <v>66</v>
      </c>
      <c r="C50" s="49"/>
      <c r="D50" s="164"/>
      <c r="E50" s="107"/>
      <c r="F50" s="180"/>
      <c r="G50" s="181">
        <v>0.09</v>
      </c>
      <c r="H50" s="143">
        <f t="shared" ref="H50:L50" si="120">+H49*G50</f>
        <v>66559.770188352</v>
      </c>
      <c r="I50" s="181">
        <v>0.09</v>
      </c>
      <c r="J50" s="143">
        <f t="shared" si="120"/>
        <v>49779.8595648</v>
      </c>
      <c r="K50" s="182">
        <v>0.09</v>
      </c>
      <c r="L50" s="143">
        <f t="shared" si="120"/>
        <v>43309.6647768</v>
      </c>
      <c r="M50" s="181">
        <v>0.09</v>
      </c>
      <c r="N50" s="143">
        <f>+N49*M50</f>
        <v>43425.00704844</v>
      </c>
      <c r="O50" s="181">
        <v>0.09</v>
      </c>
      <c r="P50" s="143">
        <f>+P49*O50</f>
        <v>40521.6363906</v>
      </c>
      <c r="Q50" s="181">
        <v>0.09</v>
      </c>
      <c r="R50" s="143">
        <f t="shared" ref="R50:V50" si="121">+R49*Q50</f>
        <v>37207.90951272</v>
      </c>
      <c r="S50" s="183">
        <v>0.03</v>
      </c>
      <c r="T50" s="143">
        <f t="shared" si="121"/>
        <v>12333.3584698212</v>
      </c>
      <c r="U50" s="182">
        <v>0.03</v>
      </c>
      <c r="V50" s="143">
        <f t="shared" si="121"/>
        <v>12317.080437408</v>
      </c>
      <c r="W50" s="181">
        <v>0.03</v>
      </c>
      <c r="X50" s="143">
        <f>+X49*W50</f>
        <v>11106.563604</v>
      </c>
      <c r="Y50" s="181">
        <v>0.03</v>
      </c>
      <c r="Z50" s="143">
        <f t="shared" ref="Z50:AD50" si="122">+Z49*Y50</f>
        <v>9932.566758</v>
      </c>
      <c r="AA50" s="174">
        <v>0.09</v>
      </c>
      <c r="AB50" s="143">
        <f t="shared" si="122"/>
        <v>29094.3794344431</v>
      </c>
      <c r="AC50" s="174">
        <v>0.09</v>
      </c>
      <c r="AD50" s="143">
        <f t="shared" si="122"/>
        <v>29005.058421</v>
      </c>
      <c r="AE50" s="174">
        <v>0.09</v>
      </c>
      <c r="AF50" s="143">
        <f>+AF49*AE50</f>
        <v>30840.0422005097</v>
      </c>
      <c r="AG50" s="107"/>
    </row>
    <row r="51" s="12" customFormat="1" ht="25" customHeight="1" outlineLevel="1" spans="1:36">
      <c r="A51" s="179">
        <v>4</v>
      </c>
      <c r="B51" s="107" t="s">
        <v>67</v>
      </c>
      <c r="C51" s="49"/>
      <c r="D51" s="164"/>
      <c r="E51" s="107"/>
      <c r="F51" s="129"/>
      <c r="G51" s="143"/>
      <c r="H51" s="143">
        <f t="shared" ref="H51:L51" si="123">H49+H50</f>
        <v>806112.772281152</v>
      </c>
      <c r="I51" s="143"/>
      <c r="J51" s="143">
        <f t="shared" si="123"/>
        <v>602889.4102848</v>
      </c>
      <c r="K51" s="112"/>
      <c r="L51" s="143">
        <f t="shared" si="123"/>
        <v>524528.1622968</v>
      </c>
      <c r="M51" s="143"/>
      <c r="N51" s="143">
        <f>N49+N50</f>
        <v>525925.08536444</v>
      </c>
      <c r="O51" s="143"/>
      <c r="P51" s="143">
        <f>P49+P50</f>
        <v>490762.0407306</v>
      </c>
      <c r="Q51" s="143"/>
      <c r="R51" s="143">
        <f t="shared" ref="R51:V51" si="124">R49+R50</f>
        <v>450629.12632072</v>
      </c>
      <c r="S51" s="144"/>
      <c r="T51" s="143">
        <f t="shared" si="124"/>
        <v>423445.307463862</v>
      </c>
      <c r="U51" s="112"/>
      <c r="V51" s="143">
        <f t="shared" si="124"/>
        <v>422886.428351008</v>
      </c>
      <c r="W51" s="143"/>
      <c r="X51" s="143">
        <f>X49+X50</f>
        <v>381325.350404</v>
      </c>
      <c r="Y51" s="143"/>
      <c r="Z51" s="143">
        <f t="shared" ref="Z51:AD51" si="125">Z49+Z50</f>
        <v>341018.125358</v>
      </c>
      <c r="AA51" s="138"/>
      <c r="AB51" s="143">
        <f t="shared" si="125"/>
        <v>352365.262039367</v>
      </c>
      <c r="AC51" s="143"/>
      <c r="AD51" s="143">
        <f t="shared" si="125"/>
        <v>351283.485321</v>
      </c>
      <c r="AE51" s="145"/>
      <c r="AF51" s="143">
        <f>AF49+AF50</f>
        <v>373507.177761729</v>
      </c>
      <c r="AG51" s="107"/>
    </row>
    <row r="52" s="85" customFormat="1" ht="35" customHeight="1" spans="1:36">
      <c r="A52" s="184" t="s">
        <v>110</v>
      </c>
      <c r="B52" s="132" t="s">
        <v>111</v>
      </c>
      <c r="C52" s="132"/>
      <c r="D52" s="196"/>
      <c r="E52" s="177"/>
      <c r="F52" s="187"/>
      <c r="G52" s="188"/>
      <c r="H52" s="135">
        <f t="shared" ref="H52:L52" si="126">H6+H28+H46</f>
        <v>41111751.3863388</v>
      </c>
      <c r="I52" s="188"/>
      <c r="J52" s="135">
        <f t="shared" si="126"/>
        <v>30747359.9245248</v>
      </c>
      <c r="K52" s="189"/>
      <c r="L52" s="135">
        <f t="shared" si="126"/>
        <v>26750936.2771368</v>
      </c>
      <c r="M52" s="188"/>
      <c r="N52" s="135">
        <f>N6+N28+N46</f>
        <v>26822179.3535864</v>
      </c>
      <c r="O52" s="188"/>
      <c r="P52" s="135">
        <f>P6+P28+P46</f>
        <v>25028864.0772606</v>
      </c>
      <c r="Q52" s="188"/>
      <c r="R52" s="135">
        <f t="shared" ref="R52:V52" si="127">R6+R28+R46</f>
        <v>22982085.4423567</v>
      </c>
      <c r="S52" s="190"/>
      <c r="T52" s="135">
        <f t="shared" si="127"/>
        <v>21595710.6806569</v>
      </c>
      <c r="U52" s="189"/>
      <c r="V52" s="135">
        <f t="shared" si="127"/>
        <v>21567207.8459014</v>
      </c>
      <c r="W52" s="188"/>
      <c r="X52" s="135">
        <f>X6+X28+X46</f>
        <v>19447592.870604</v>
      </c>
      <c r="Y52" s="188"/>
      <c r="Z52" s="135">
        <f t="shared" ref="Z52:AD52" si="128">Z6+Z28+Z46</f>
        <v>17391924.393258</v>
      </c>
      <c r="AA52" s="154"/>
      <c r="AB52" s="135">
        <f t="shared" si="128"/>
        <v>17970628.3640077</v>
      </c>
      <c r="AC52" s="135"/>
      <c r="AD52" s="135">
        <f t="shared" si="128"/>
        <v>19153584.9925127</v>
      </c>
      <c r="AE52" s="139"/>
      <c r="AF52" s="135">
        <f>AF6+AF28+AF46</f>
        <v>18765774.6881058</v>
      </c>
      <c r="AG52" s="177"/>
      <c r="AH52" s="140"/>
      <c r="AI52" s="140"/>
      <c r="AJ52" s="140"/>
    </row>
    <row r="53" s="10" customFormat="1" ht="314" customHeight="1" spans="1:36">
      <c r="A53" s="99" t="s">
        <v>112</v>
      </c>
      <c r="B53" s="197"/>
      <c r="C53" s="99"/>
      <c r="D53" s="99"/>
      <c r="E53" s="99"/>
      <c r="F53" s="197"/>
      <c r="G53" s="198"/>
      <c r="H53" s="198"/>
      <c r="I53" s="198"/>
      <c r="J53" s="198"/>
      <c r="K53" s="198"/>
      <c r="L53" s="198"/>
      <c r="M53" s="198"/>
      <c r="N53" s="198"/>
      <c r="O53" s="198"/>
      <c r="P53" s="198"/>
      <c r="Q53" s="198"/>
      <c r="R53" s="198"/>
      <c r="S53" s="199"/>
      <c r="T53" s="198"/>
      <c r="U53" s="199"/>
      <c r="V53" s="198"/>
      <c r="W53" s="198"/>
      <c r="X53" s="198"/>
      <c r="Y53" s="198"/>
      <c r="Z53" s="198"/>
      <c r="AA53" s="200"/>
      <c r="AB53" s="198"/>
      <c r="AC53" s="198"/>
      <c r="AD53" s="198"/>
      <c r="AE53" s="197"/>
      <c r="AF53" s="197"/>
      <c r="AG53" s="99"/>
    </row>
    <row r="54" s="10" customFormat="1" ht="46" customHeight="1" spans="1:36">
      <c r="A54" s="99" t="s">
        <v>113</v>
      </c>
      <c r="B54" s="99"/>
      <c r="C54" s="99"/>
      <c r="D54" s="99"/>
      <c r="E54" s="99"/>
      <c r="F54" s="99"/>
      <c r="G54" s="201"/>
      <c r="H54" s="201"/>
      <c r="I54" s="201"/>
      <c r="J54" s="201"/>
      <c r="K54" s="201"/>
      <c r="L54" s="201"/>
      <c r="M54" s="201"/>
      <c r="N54" s="201"/>
      <c r="O54" s="201"/>
      <c r="P54" s="201"/>
      <c r="Q54" s="201"/>
      <c r="R54" s="201"/>
      <c r="S54" s="202"/>
      <c r="T54" s="201"/>
      <c r="U54" s="202"/>
      <c r="V54" s="201"/>
      <c r="W54" s="201"/>
      <c r="X54" s="201"/>
      <c r="Y54" s="201"/>
      <c r="Z54" s="201"/>
      <c r="AA54" s="203"/>
      <c r="AB54" s="201"/>
      <c r="AC54" s="201"/>
      <c r="AD54" s="201"/>
      <c r="AE54" s="197"/>
      <c r="AF54" s="197"/>
      <c r="AG54" s="197"/>
    </row>
    <row r="55" s="10" customFormat="1" ht="50" customHeight="1" spans="1:36">
      <c r="A55" s="99" t="s">
        <v>114</v>
      </c>
      <c r="B55" s="99"/>
      <c r="C55" s="99"/>
      <c r="D55" s="99"/>
      <c r="E55" s="99"/>
      <c r="F55" s="99"/>
      <c r="G55" s="201"/>
      <c r="H55" s="201"/>
      <c r="I55" s="201"/>
      <c r="J55" s="201"/>
      <c r="K55" s="201"/>
      <c r="L55" s="201"/>
      <c r="M55" s="201"/>
      <c r="N55" s="201"/>
      <c r="O55" s="201"/>
      <c r="P55" s="201"/>
      <c r="Q55" s="201"/>
      <c r="R55" s="201"/>
      <c r="S55" s="202"/>
      <c r="T55" s="201"/>
      <c r="U55" s="202"/>
      <c r="V55" s="201"/>
      <c r="W55" s="201"/>
      <c r="X55" s="201"/>
      <c r="Y55" s="201"/>
      <c r="Z55" s="201"/>
      <c r="AA55" s="203"/>
      <c r="AB55" s="201"/>
      <c r="AC55" s="201"/>
      <c r="AD55" s="201"/>
      <c r="AE55" s="197"/>
      <c r="AF55" s="197"/>
      <c r="AG55" s="197"/>
    </row>
    <row r="58" spans="1:36">
      <c r="AB58" s="90">
        <v>48000</v>
      </c>
    </row>
    <row r="59" spans="1:36">
      <c r="AB59" s="90">
        <f>AB52/AB58</f>
        <v>374.388090916827</v>
      </c>
    </row>
  </sheetData>
  <mergeCells count="47">
    <mergeCell ref="A1:AG1"/>
    <mergeCell ref="A2:AG2"/>
    <mergeCell ref="G3:H3"/>
    <mergeCell ref="I3:J3"/>
    <mergeCell ref="K3:L3"/>
    <mergeCell ref="M3:N3"/>
    <mergeCell ref="O3:P3"/>
    <mergeCell ref="Q3:R3"/>
    <mergeCell ref="S3:T3"/>
    <mergeCell ref="U3:V3"/>
    <mergeCell ref="W3:X3"/>
    <mergeCell ref="Y3:Z3"/>
    <mergeCell ref="AA3:AB3"/>
    <mergeCell ref="AC3:AD3"/>
    <mergeCell ref="AE3:AF3"/>
    <mergeCell ref="G4:H4"/>
    <mergeCell ref="I4:J4"/>
    <mergeCell ref="K4:L4"/>
    <mergeCell ref="M4:N4"/>
    <mergeCell ref="O4:P4"/>
    <mergeCell ref="Q4:R4"/>
    <mergeCell ref="S4:T4"/>
    <mergeCell ref="U4:V4"/>
    <mergeCell ref="W4:X4"/>
    <mergeCell ref="Y4:Z4"/>
    <mergeCell ref="AA4:AB4"/>
    <mergeCell ref="AC4:AD4"/>
    <mergeCell ref="B52:C52"/>
    <mergeCell ref="A53:AG53"/>
    <mergeCell ref="A54:AB54"/>
    <mergeCell ref="AE54:AG54"/>
    <mergeCell ref="A55:AB55"/>
    <mergeCell ref="AE55:AG55"/>
    <mergeCell ref="A3:A5"/>
    <mergeCell ref="B3:B5"/>
    <mergeCell ref="C3:C5"/>
    <mergeCell ref="C12:C16"/>
    <mergeCell ref="C18:C20"/>
    <mergeCell ref="C22:C24"/>
    <mergeCell ref="C30:C31"/>
    <mergeCell ref="C39:C40"/>
    <mergeCell ref="D3:D5"/>
    <mergeCell ref="D12:D16"/>
    <mergeCell ref="D18:D20"/>
    <mergeCell ref="D22:D24"/>
    <mergeCell ref="E3:E5"/>
    <mergeCell ref="F3:F5"/>
  </mergeCells>
  <pageMargins left="0.196527777777778" right="0.196527777777778" top="0.196527777777778" bottom="0.196527777777778" header="0" footer="0"/>
  <pageSetup paperSize="8" scale="30"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L20"/>
  <sheetViews>
    <sheetView view="pageBreakPreview" zoomScale="70" zoomScaleNormal="100" workbookViewId="0">
      <pane xSplit="3" ySplit="4" topLeftCell="D6" activePane="bottomRight" state="frozen"/>
      <selection/>
      <selection pane="topRight"/>
      <selection pane="bottomLeft"/>
      <selection pane="bottomRight" activeCell="C5" sqref="C5:C7"/>
    </sheetView>
  </sheetViews>
  <sheetFormatPr defaultColWidth="8.89166666666667" defaultRowHeight="13.5"/>
  <cols>
    <col min="1" max="1" width="6" style="14" customWidth="1"/>
    <col min="2" max="2" width="14.225" style="14" customWidth="1"/>
    <col min="3" max="3" width="134.241666666667" style="14" customWidth="1" outlineLevel="1"/>
    <col min="4" max="4" width="22.2083333333333" style="14" customWidth="1"/>
    <col min="5" max="5" width="5.50833333333333" style="14" customWidth="1"/>
    <col min="6" max="6" width="9.88333333333333" style="14" customWidth="1"/>
    <col min="7" max="7" width="20.7583333333333" style="15" customWidth="1"/>
    <col min="8" max="8" width="10.4416666666667" style="15" customWidth="1"/>
    <col min="9" max="9" width="12.1333333333333" style="15" customWidth="1"/>
    <col min="10" max="10" width="8" style="14" customWidth="1"/>
    <col min="11" max="11" width="28.3833333333333" style="13" customWidth="1"/>
    <col min="12" max="12" width="14" style="13"/>
    <col min="13" max="16384" width="8.89166666666667" style="13"/>
  </cols>
  <sheetData>
    <row r="1" s="9" customFormat="1" ht="28" customHeight="1" spans="1:12">
      <c r="A1" s="16" t="s">
        <v>115</v>
      </c>
      <c r="B1" s="16"/>
      <c r="C1" s="16"/>
      <c r="D1" s="16"/>
      <c r="E1" s="16"/>
      <c r="F1" s="16"/>
      <c r="G1" s="17"/>
      <c r="H1" s="17"/>
      <c r="I1" s="17"/>
      <c r="J1" s="16"/>
    </row>
    <row r="2" s="10" customFormat="1" ht="24" customHeight="1" spans="1:12">
      <c r="A2" s="18" t="s">
        <v>116</v>
      </c>
      <c r="B2" s="19"/>
      <c r="C2" s="20"/>
      <c r="D2" s="20"/>
      <c r="E2" s="20"/>
      <c r="F2" s="20"/>
      <c r="G2" s="21"/>
      <c r="H2" s="22"/>
      <c r="I2" s="22"/>
      <c r="J2" s="20"/>
    </row>
    <row r="3" s="11" customFormat="1" ht="24" customHeight="1" spans="1:12">
      <c r="A3" s="23" t="s">
        <v>2</v>
      </c>
      <c r="B3" s="23" t="s">
        <v>3</v>
      </c>
      <c r="C3" s="23" t="s">
        <v>117</v>
      </c>
      <c r="D3" s="24" t="s">
        <v>5</v>
      </c>
      <c r="E3" s="23" t="s">
        <v>6</v>
      </c>
      <c r="F3" s="25" t="s">
        <v>118</v>
      </c>
      <c r="G3" s="26" t="s">
        <v>119</v>
      </c>
      <c r="H3" s="27" t="s">
        <v>120</v>
      </c>
      <c r="I3" s="27"/>
      <c r="J3" s="23" t="s">
        <v>35</v>
      </c>
    </row>
    <row r="4" s="11" customFormat="1" ht="62" customHeight="1" spans="1:12">
      <c r="A4" s="23"/>
      <c r="B4" s="23"/>
      <c r="C4" s="23"/>
      <c r="D4" s="24"/>
      <c r="E4" s="23"/>
      <c r="F4" s="28"/>
      <c r="G4" s="29"/>
      <c r="H4" s="27" t="s">
        <v>121</v>
      </c>
      <c r="I4" s="27" t="s">
        <v>33</v>
      </c>
      <c r="J4" s="23"/>
    </row>
    <row r="5" s="10" customFormat="1" ht="271" customHeight="1" spans="1:12">
      <c r="A5" s="30">
        <v>1</v>
      </c>
      <c r="B5" s="31" t="s">
        <v>122</v>
      </c>
      <c r="C5" s="32" t="s">
        <v>123</v>
      </c>
      <c r="D5" s="33" t="s">
        <v>124</v>
      </c>
      <c r="E5" s="31" t="s">
        <v>125</v>
      </c>
      <c r="F5" s="31">
        <v>1</v>
      </c>
      <c r="G5" s="34">
        <v>723479.141926605</v>
      </c>
      <c r="H5" s="35">
        <v>0.05</v>
      </c>
      <c r="I5" s="34">
        <f>G5*(1-H5)</f>
        <v>687305.184830275</v>
      </c>
      <c r="J5" s="30"/>
    </row>
    <row r="6" s="10" customFormat="1" ht="162" customHeight="1" spans="1:12">
      <c r="A6" s="36"/>
      <c r="B6" s="37"/>
      <c r="C6" s="38"/>
      <c r="D6" s="39"/>
      <c r="E6" s="37"/>
      <c r="F6" s="37"/>
      <c r="G6" s="40"/>
      <c r="H6" s="35"/>
      <c r="I6" s="40"/>
      <c r="J6" s="36"/>
    </row>
    <row r="7" s="12" customFormat="1" ht="29" customHeight="1" spans="1:12">
      <c r="A7" s="47">
        <v>2</v>
      </c>
      <c r="B7" s="48" t="s">
        <v>65</v>
      </c>
      <c r="C7" s="49"/>
      <c r="D7" s="50"/>
      <c r="E7" s="48"/>
      <c r="F7" s="48"/>
      <c r="G7" s="51"/>
      <c r="H7" s="51"/>
      <c r="I7" s="51">
        <f>SUM(I5:I6)</f>
        <v>687305.184830275</v>
      </c>
      <c r="J7" s="48"/>
    </row>
    <row r="8" s="12" customFormat="1" ht="29" customHeight="1" spans="1:12">
      <c r="A8" s="47">
        <v>3</v>
      </c>
      <c r="B8" s="48" t="s">
        <v>66</v>
      </c>
      <c r="C8" s="49"/>
      <c r="D8" s="50"/>
      <c r="E8" s="48"/>
      <c r="F8" s="48"/>
      <c r="G8" s="53"/>
      <c r="H8" s="54">
        <v>0.09</v>
      </c>
      <c r="I8" s="51">
        <f>I7*H8</f>
        <v>61857.4666347247</v>
      </c>
      <c r="J8" s="48"/>
      <c r="K8" s="55"/>
    </row>
    <row r="9" s="12" customFormat="1" ht="29" customHeight="1" spans="1:12">
      <c r="A9" s="47">
        <v>4</v>
      </c>
      <c r="B9" s="48" t="s">
        <v>67</v>
      </c>
      <c r="C9" s="49"/>
      <c r="D9" s="50"/>
      <c r="E9" s="48"/>
      <c r="F9" s="48"/>
      <c r="G9" s="51"/>
      <c r="H9" s="51"/>
      <c r="I9" s="51">
        <f>I7+I8</f>
        <v>749162.651465</v>
      </c>
      <c r="J9" s="48"/>
      <c r="K9" s="12">
        <v>726000</v>
      </c>
      <c r="L9" s="12">
        <f>I9-K9</f>
        <v>23162.6514649995</v>
      </c>
    </row>
    <row r="10" s="10" customFormat="1" ht="157" customHeight="1" spans="1:12">
      <c r="A10" s="56" t="s">
        <v>126</v>
      </c>
      <c r="B10" s="57"/>
      <c r="C10" s="58"/>
      <c r="D10" s="58"/>
      <c r="E10" s="58"/>
      <c r="F10" s="58"/>
      <c r="G10" s="58"/>
      <c r="H10" s="57"/>
      <c r="I10" s="57"/>
      <c r="J10" s="58"/>
    </row>
    <row r="11" ht="45" customHeight="1" spans="1:12">
      <c r="A11" s="59" t="s">
        <v>127</v>
      </c>
      <c r="B11" s="59"/>
      <c r="C11" s="59"/>
      <c r="D11" s="59"/>
      <c r="E11" s="59"/>
      <c r="F11" s="59"/>
      <c r="G11" s="59"/>
      <c r="H11" s="59"/>
      <c r="I11" s="59"/>
      <c r="J11" s="59"/>
    </row>
    <row r="12" ht="45" hidden="1" customHeight="1" spans="1:12">
      <c r="A12" s="59" t="s">
        <v>114</v>
      </c>
      <c r="B12" s="59"/>
      <c r="C12" s="59"/>
      <c r="D12" s="59"/>
      <c r="E12" s="59"/>
      <c r="F12" s="59"/>
      <c r="G12" s="59"/>
      <c r="H12" s="59"/>
      <c r="I12" s="59"/>
      <c r="J12" s="59"/>
    </row>
    <row r="13" ht="28" customHeight="1"/>
    <row r="14" ht="28" customHeight="1"/>
    <row r="15" ht="28" customHeight="1"/>
    <row r="16" ht="28" customHeight="1"/>
    <row r="17" ht="28" customHeight="1"/>
    <row r="18" ht="28" customHeight="1"/>
    <row r="19" ht="28" customHeight="1"/>
    <row r="20" ht="28" customHeight="1"/>
  </sheetData>
  <mergeCells count="24">
    <mergeCell ref="A1:J1"/>
    <mergeCell ref="A2:J2"/>
    <mergeCell ref="H3:I3"/>
    <mergeCell ref="A10:J10"/>
    <mergeCell ref="A11:J11"/>
    <mergeCell ref="A12:J12"/>
    <mergeCell ref="A3:A4"/>
    <mergeCell ref="A5:A6"/>
    <mergeCell ref="B3:B4"/>
    <mergeCell ref="B5:B6"/>
    <mergeCell ref="C3:C4"/>
    <mergeCell ref="C5:C6"/>
    <mergeCell ref="D3:D4"/>
    <mergeCell ref="D5:D6"/>
    <mergeCell ref="E3:E4"/>
    <mergeCell ref="E5:E6"/>
    <mergeCell ref="F3:F4"/>
    <mergeCell ref="F5:F6"/>
    <mergeCell ref="G3:G4"/>
    <mergeCell ref="G5:G6"/>
    <mergeCell ref="H5:H6"/>
    <mergeCell ref="I5:I6"/>
    <mergeCell ref="J3:J4"/>
    <mergeCell ref="J5:J6"/>
  </mergeCells>
  <printOptions horizontalCentered="1"/>
  <pageMargins left="0" right="0" top="0" bottom="0" header="0" footer="0"/>
  <pageSetup paperSize="9" scale="57" fitToHeight="0" orientation="landscape" horizontalDpi="600"/>
  <headerFooter/>
  <rowBreaks count="1" manualBreakCount="1">
    <brk id="11" max="9"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K20"/>
  <sheetViews>
    <sheetView view="pageBreakPreview" zoomScaleNormal="100" workbookViewId="0">
      <pane xSplit="3" ySplit="4" topLeftCell="D5" activePane="bottomRight" state="frozen"/>
      <selection/>
      <selection pane="topRight"/>
      <selection pane="bottomLeft"/>
      <selection pane="bottomRight" activeCell="C5" sqref="C5:C7"/>
    </sheetView>
  </sheetViews>
  <sheetFormatPr defaultColWidth="8.89166666666667" defaultRowHeight="13.5"/>
  <cols>
    <col min="1" max="1" width="6" style="14" customWidth="1"/>
    <col min="2" max="2" width="14.225" style="14" customWidth="1"/>
    <col min="3" max="3" width="134.241666666667" style="14" customWidth="1" outlineLevel="1"/>
    <col min="4" max="4" width="22.2083333333333" style="14" customWidth="1"/>
    <col min="5" max="5" width="5.50833333333333" style="14" customWidth="1"/>
    <col min="6" max="6" width="9.88333333333333" style="14" customWidth="1"/>
    <col min="7" max="7" width="20.7583333333333" style="15" customWidth="1"/>
    <col min="8" max="8" width="10.4416666666667" style="15" customWidth="1"/>
    <col min="9" max="9" width="12.1333333333333" style="15" customWidth="1"/>
    <col min="10" max="10" width="8" style="14" customWidth="1"/>
    <col min="11" max="11" width="28.3833333333333" style="13" customWidth="1"/>
    <col min="12" max="16384" width="8.89166666666667" style="13"/>
  </cols>
  <sheetData>
    <row r="1" s="9" customFormat="1" ht="28" customHeight="1" spans="1:11">
      <c r="A1" s="16" t="s">
        <v>128</v>
      </c>
      <c r="B1" s="16"/>
      <c r="C1" s="16"/>
      <c r="D1" s="16"/>
      <c r="E1" s="16"/>
      <c r="F1" s="16"/>
      <c r="G1" s="17"/>
      <c r="H1" s="17"/>
      <c r="I1" s="17"/>
      <c r="J1" s="16"/>
    </row>
    <row r="2" s="10" customFormat="1" ht="24" customHeight="1" spans="1:11">
      <c r="A2" s="18" t="s">
        <v>129</v>
      </c>
      <c r="B2" s="19"/>
      <c r="C2" s="20"/>
      <c r="D2" s="20"/>
      <c r="E2" s="20"/>
      <c r="F2" s="20"/>
      <c r="G2" s="21"/>
      <c r="H2" s="22"/>
      <c r="I2" s="22"/>
      <c r="J2" s="20"/>
    </row>
    <row r="3" s="11" customFormat="1" ht="24" customHeight="1" spans="1:11">
      <c r="A3" s="23" t="s">
        <v>2</v>
      </c>
      <c r="B3" s="23" t="s">
        <v>3</v>
      </c>
      <c r="C3" s="23" t="s">
        <v>117</v>
      </c>
      <c r="D3" s="24" t="s">
        <v>5</v>
      </c>
      <c r="E3" s="23" t="s">
        <v>6</v>
      </c>
      <c r="F3" s="25" t="s">
        <v>118</v>
      </c>
      <c r="G3" s="26" t="s">
        <v>130</v>
      </c>
      <c r="H3" s="27" t="s">
        <v>120</v>
      </c>
      <c r="I3" s="27"/>
      <c r="J3" s="23" t="s">
        <v>35</v>
      </c>
    </row>
    <row r="4" s="11" customFormat="1" ht="62" customHeight="1" spans="1:11">
      <c r="A4" s="23"/>
      <c r="B4" s="23"/>
      <c r="C4" s="23"/>
      <c r="D4" s="24"/>
      <c r="E4" s="23"/>
      <c r="F4" s="28"/>
      <c r="G4" s="29"/>
      <c r="H4" s="27" t="s">
        <v>121</v>
      </c>
      <c r="I4" s="27" t="s">
        <v>33</v>
      </c>
      <c r="J4" s="23"/>
    </row>
    <row r="5" s="10" customFormat="1" ht="271" customHeight="1" spans="1:11">
      <c r="A5" s="30">
        <v>1</v>
      </c>
      <c r="B5" s="31" t="s">
        <v>131</v>
      </c>
      <c r="C5" s="80" t="s">
        <v>132</v>
      </c>
      <c r="D5" s="72" t="s">
        <v>133</v>
      </c>
      <c r="E5" s="31" t="s">
        <v>125</v>
      </c>
      <c r="F5" s="31">
        <v>1</v>
      </c>
      <c r="G5" s="34">
        <v>2282004.4</v>
      </c>
      <c r="H5" s="35">
        <v>0.08</v>
      </c>
      <c r="I5" s="34">
        <f>G5*(1-H5)</f>
        <v>2099444.048</v>
      </c>
      <c r="J5" s="30"/>
    </row>
    <row r="6" s="10" customFormat="1" ht="24" customHeight="1" spans="1:11">
      <c r="A6" s="36"/>
      <c r="B6" s="37"/>
      <c r="C6" s="81"/>
      <c r="D6" s="82"/>
      <c r="E6" s="37"/>
      <c r="F6" s="37"/>
      <c r="G6" s="40"/>
      <c r="H6" s="35"/>
      <c r="I6" s="40"/>
      <c r="J6" s="36"/>
    </row>
    <row r="7" s="10" customFormat="1" ht="125" customHeight="1" spans="1:11">
      <c r="A7" s="36">
        <v>2</v>
      </c>
      <c r="B7" s="37" t="s">
        <v>134</v>
      </c>
      <c r="C7" s="83"/>
      <c r="D7" s="84"/>
      <c r="E7" s="37" t="s">
        <v>125</v>
      </c>
      <c r="F7" s="37">
        <v>1</v>
      </c>
      <c r="G7" s="40">
        <f>797100/1.09</f>
        <v>731284.403669725</v>
      </c>
      <c r="H7" s="35">
        <v>0.1</v>
      </c>
      <c r="I7" s="40">
        <f>G7*(1-H7)</f>
        <v>658155.963302752</v>
      </c>
      <c r="J7" s="84" t="s">
        <v>135</v>
      </c>
    </row>
    <row r="8" s="12" customFormat="1" ht="29" customHeight="1" spans="1:11">
      <c r="A8" s="47">
        <v>3</v>
      </c>
      <c r="B8" s="48" t="s">
        <v>65</v>
      </c>
      <c r="C8" s="49"/>
      <c r="D8" s="50"/>
      <c r="E8" s="48"/>
      <c r="F8" s="48"/>
      <c r="G8" s="51"/>
      <c r="H8" s="51"/>
      <c r="I8" s="51">
        <f>SUM(I5:I7)</f>
        <v>2757600.01130275</v>
      </c>
      <c r="J8" s="48"/>
      <c r="K8" s="12">
        <v>2099444.048</v>
      </c>
    </row>
    <row r="9" s="12" customFormat="1" ht="29" customHeight="1" spans="1:11">
      <c r="A9" s="47">
        <v>4</v>
      </c>
      <c r="B9" s="48" t="s">
        <v>66</v>
      </c>
      <c r="C9" s="49"/>
      <c r="D9" s="50"/>
      <c r="E9" s="48"/>
      <c r="F9" s="48"/>
      <c r="G9" s="53"/>
      <c r="H9" s="54">
        <v>0.09</v>
      </c>
      <c r="I9" s="51">
        <f>I8*H9</f>
        <v>248184.001017248</v>
      </c>
      <c r="J9" s="48"/>
      <c r="K9" s="55"/>
    </row>
    <row r="10" s="12" customFormat="1" ht="29" customHeight="1" spans="1:11">
      <c r="A10" s="47">
        <v>5</v>
      </c>
      <c r="B10" s="48" t="s">
        <v>67</v>
      </c>
      <c r="C10" s="49"/>
      <c r="D10" s="50"/>
      <c r="E10" s="48"/>
      <c r="F10" s="48"/>
      <c r="G10" s="51"/>
      <c r="H10" s="51"/>
      <c r="I10" s="51">
        <f>I8+I9</f>
        <v>3005784.01232</v>
      </c>
      <c r="J10" s="48"/>
    </row>
    <row r="11" s="10" customFormat="1" ht="135" customHeight="1" spans="1:11">
      <c r="A11" s="56" t="s">
        <v>126</v>
      </c>
      <c r="B11" s="57"/>
      <c r="C11" s="58"/>
      <c r="D11" s="58"/>
      <c r="E11" s="58"/>
      <c r="F11" s="58"/>
      <c r="G11" s="58"/>
      <c r="H11" s="57"/>
      <c r="I11" s="57"/>
      <c r="J11" s="58"/>
    </row>
    <row r="12" s="13" customFormat="1" ht="45" customHeight="1" spans="1:11">
      <c r="A12" s="59" t="s">
        <v>127</v>
      </c>
      <c r="B12" s="59"/>
      <c r="C12" s="59"/>
      <c r="D12" s="59"/>
      <c r="E12" s="59"/>
      <c r="F12" s="59"/>
      <c r="G12" s="59"/>
      <c r="H12" s="59"/>
      <c r="I12" s="59"/>
      <c r="J12" s="59"/>
    </row>
    <row r="13" ht="28" customHeight="1"/>
    <row r="14" ht="28" customHeight="1"/>
    <row r="15" ht="28" customHeight="1"/>
    <row r="16" ht="28" customHeight="1"/>
    <row r="17" ht="28" customHeight="1"/>
    <row r="18" ht="28" customHeight="1"/>
    <row r="19" ht="28" customHeight="1"/>
    <row r="20" ht="28" customHeight="1"/>
  </sheetData>
  <mergeCells count="23">
    <mergeCell ref="A1:J1"/>
    <mergeCell ref="A2:J2"/>
    <mergeCell ref="H3:I3"/>
    <mergeCell ref="A11:J11"/>
    <mergeCell ref="A12:J12"/>
    <mergeCell ref="A3:A4"/>
    <mergeCell ref="A5:A6"/>
    <mergeCell ref="B3:B4"/>
    <mergeCell ref="B5:B6"/>
    <mergeCell ref="C3:C4"/>
    <mergeCell ref="C5:C7"/>
    <mergeCell ref="D3:D4"/>
    <mergeCell ref="D5:D7"/>
    <mergeCell ref="E3:E4"/>
    <mergeCell ref="E5:E6"/>
    <mergeCell ref="F3:F4"/>
    <mergeCell ref="F5:F6"/>
    <mergeCell ref="G3:G4"/>
    <mergeCell ref="G5:G6"/>
    <mergeCell ref="H5:H6"/>
    <mergeCell ref="I5:I6"/>
    <mergeCell ref="J3:J4"/>
    <mergeCell ref="J5:J6"/>
  </mergeCells>
  <printOptions horizontalCentered="1"/>
  <pageMargins left="0" right="0" top="0" bottom="0" header="0" footer="0"/>
  <pageSetup paperSize="9" scale="5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outlinePr summaryBelow="0" summaryRight="0"/>
    <pageSetUpPr fitToPage="1"/>
  </sheetPr>
  <dimension ref="A1:M19"/>
  <sheetViews>
    <sheetView tabSelected="1" view="pageBreakPreview" zoomScale="70" zoomScaleNormal="100" workbookViewId="0">
      <pane xSplit="3" ySplit="4" topLeftCell="D5" activePane="bottomRight" state="frozen"/>
      <selection/>
      <selection pane="topRight"/>
      <selection pane="bottomLeft"/>
      <selection pane="bottomRight" activeCell="F6" sqref="F6"/>
    </sheetView>
  </sheetViews>
  <sheetFormatPr defaultColWidth="8.89166666666667" defaultRowHeight="13.5"/>
  <cols>
    <col min="1" max="1" width="6" style="14" customWidth="1"/>
    <col min="2" max="2" width="14.225" style="14" customWidth="1"/>
    <col min="3" max="3" width="131.616666666667" style="14" customWidth="1" outlineLevel="1"/>
    <col min="4" max="4" width="15.8833333333333" style="14" customWidth="1"/>
    <col min="5" max="5" width="5.50833333333333" style="14" customWidth="1"/>
    <col min="6" max="6" width="9.88333333333333" style="14" customWidth="1"/>
    <col min="7" max="7" width="15.875" style="15" customWidth="1"/>
    <col min="8" max="8" width="10.4416666666667" style="15" customWidth="1"/>
    <col min="9" max="9" width="13.8166666666667" style="15" customWidth="1"/>
    <col min="10" max="10" width="10.4416666666667" style="15" customWidth="1"/>
    <col min="11" max="11" width="12.1333333333333" style="15" customWidth="1"/>
    <col min="12" max="12" width="8" style="14" customWidth="1"/>
    <col min="13" max="13" width="28.3833333333333" style="13" customWidth="1"/>
    <col min="14" max="16384" width="8.89166666666667" style="13"/>
  </cols>
  <sheetData>
    <row r="1" s="9" customFormat="1" ht="28" customHeight="1" spans="1:13">
      <c r="A1" s="16" t="s">
        <v>136</v>
      </c>
      <c r="B1" s="16"/>
      <c r="C1" s="16"/>
      <c r="D1" s="16"/>
      <c r="E1" s="16"/>
      <c r="F1" s="16"/>
      <c r="G1" s="17"/>
      <c r="H1" s="17"/>
      <c r="I1" s="17"/>
      <c r="J1" s="17"/>
      <c r="K1" s="17"/>
      <c r="L1" s="16"/>
    </row>
    <row r="2" s="10" customFormat="1" ht="24" customHeight="1" spans="1:13">
      <c r="A2" s="18" t="s">
        <v>137</v>
      </c>
      <c r="B2" s="19"/>
      <c r="C2" s="20"/>
      <c r="D2" s="20"/>
      <c r="E2" s="20"/>
      <c r="F2" s="20"/>
      <c r="G2" s="21"/>
      <c r="H2" s="22"/>
      <c r="I2" s="22"/>
      <c r="J2" s="22"/>
      <c r="K2" s="22"/>
      <c r="L2" s="20"/>
    </row>
    <row r="3" s="11" customFormat="1" ht="24" customHeight="1" spans="1:13">
      <c r="A3" s="23" t="s">
        <v>2</v>
      </c>
      <c r="B3" s="23" t="s">
        <v>3</v>
      </c>
      <c r="C3" s="23" t="s">
        <v>117</v>
      </c>
      <c r="D3" s="24" t="s">
        <v>5</v>
      </c>
      <c r="E3" s="23" t="s">
        <v>6</v>
      </c>
      <c r="F3" s="25" t="s">
        <v>118</v>
      </c>
      <c r="G3" s="26" t="s">
        <v>138</v>
      </c>
      <c r="H3" s="27" t="s">
        <v>139</v>
      </c>
      <c r="I3" s="27"/>
      <c r="J3" s="27" t="s">
        <v>140</v>
      </c>
      <c r="K3" s="27"/>
      <c r="L3" s="23" t="s">
        <v>35</v>
      </c>
    </row>
    <row r="4" s="11" customFormat="1" ht="62" customHeight="1" spans="1:13">
      <c r="A4" s="23"/>
      <c r="B4" s="23"/>
      <c r="C4" s="23"/>
      <c r="D4" s="24"/>
      <c r="E4" s="23"/>
      <c r="F4" s="28"/>
      <c r="G4" s="29"/>
      <c r="H4" s="27" t="s">
        <v>141</v>
      </c>
      <c r="I4" s="27" t="s">
        <v>33</v>
      </c>
      <c r="J4" s="27" t="s">
        <v>141</v>
      </c>
      <c r="K4" s="27" t="s">
        <v>33</v>
      </c>
      <c r="L4" s="23"/>
    </row>
    <row r="5" s="11" customFormat="1" ht="34" customHeight="1" spans="1:13">
      <c r="A5" s="25" t="s">
        <v>36</v>
      </c>
      <c r="B5" s="25" t="s">
        <v>142</v>
      </c>
      <c r="C5" s="25"/>
      <c r="D5" s="71"/>
      <c r="E5" s="25"/>
      <c r="F5" s="28"/>
      <c r="G5" s="29"/>
      <c r="H5" s="27"/>
      <c r="I5" s="27"/>
      <c r="J5" s="27"/>
      <c r="K5" s="27"/>
      <c r="L5" s="23"/>
    </row>
    <row r="6" s="10" customFormat="1" ht="408" customHeight="1" spans="1:13">
      <c r="A6" s="30">
        <v>1</v>
      </c>
      <c r="B6" s="31" t="s">
        <v>143</v>
      </c>
      <c r="C6" s="32" t="s">
        <v>144</v>
      </c>
      <c r="D6" s="72" t="s">
        <v>145</v>
      </c>
      <c r="E6" s="31" t="s">
        <v>125</v>
      </c>
      <c r="F6" s="73">
        <v>1</v>
      </c>
      <c r="G6" s="74">
        <v>441453.23853211</v>
      </c>
      <c r="H6" s="35">
        <v>0.9</v>
      </c>
      <c r="I6" s="74">
        <f>G6*H6</f>
        <v>397307.914678899</v>
      </c>
      <c r="J6" s="35"/>
      <c r="K6" s="74">
        <f>G6*J6</f>
        <v>0</v>
      </c>
      <c r="L6" s="75"/>
    </row>
    <row r="7" s="12" customFormat="1" ht="29" customHeight="1" spans="1:13">
      <c r="A7" s="47" t="s">
        <v>68</v>
      </c>
      <c r="B7" s="48" t="s">
        <v>65</v>
      </c>
      <c r="C7" s="49"/>
      <c r="D7" s="50"/>
      <c r="E7" s="48"/>
      <c r="F7" s="48"/>
      <c r="G7" s="51"/>
      <c r="H7" s="76"/>
      <c r="I7" s="77">
        <f>SUM(I6:I6)</f>
        <v>397307.914678899</v>
      </c>
      <c r="J7" s="76"/>
      <c r="K7" s="77">
        <f>SUM(K6:K6)</f>
        <v>0</v>
      </c>
      <c r="L7" s="48"/>
      <c r="M7" s="10"/>
    </row>
    <row r="8" s="12" customFormat="1" ht="29" customHeight="1" spans="1:13">
      <c r="A8" s="47" t="s">
        <v>104</v>
      </c>
      <c r="B8" s="48" t="s">
        <v>146</v>
      </c>
      <c r="C8" s="49"/>
      <c r="D8" s="50"/>
      <c r="E8" s="48"/>
      <c r="F8" s="48"/>
      <c r="G8" s="53"/>
      <c r="H8" s="78">
        <v>0.09</v>
      </c>
      <c r="I8" s="77">
        <f>I7*H8</f>
        <v>35757.7123211009</v>
      </c>
      <c r="J8" s="78"/>
      <c r="K8" s="77">
        <f>K7*J8</f>
        <v>0</v>
      </c>
      <c r="L8" s="48"/>
      <c r="M8" s="10"/>
    </row>
    <row r="9" s="12" customFormat="1" ht="29" customHeight="1" spans="1:13">
      <c r="A9" s="47" t="s">
        <v>110</v>
      </c>
      <c r="B9" s="48" t="s">
        <v>67</v>
      </c>
      <c r="C9" s="49"/>
      <c r="D9" s="50"/>
      <c r="E9" s="48"/>
      <c r="F9" s="48"/>
      <c r="G9" s="51"/>
      <c r="H9" s="51"/>
      <c r="I9" s="77">
        <f>I7+I8</f>
        <v>433065.627</v>
      </c>
      <c r="J9" s="51"/>
      <c r="K9" s="77">
        <f>K7+K8</f>
        <v>0</v>
      </c>
      <c r="L9" s="48"/>
    </row>
    <row r="10" s="10" customFormat="1" ht="132" customHeight="1" spans="1:13">
      <c r="A10" s="58" t="s">
        <v>147</v>
      </c>
      <c r="B10" s="57"/>
      <c r="C10" s="58"/>
      <c r="D10" s="58"/>
      <c r="E10" s="58"/>
      <c r="F10" s="58"/>
      <c r="G10" s="58"/>
      <c r="H10" s="57"/>
      <c r="I10" s="57"/>
      <c r="J10" s="57"/>
      <c r="K10" s="57"/>
      <c r="L10" s="58"/>
    </row>
    <row r="11" s="13" customFormat="1" ht="52" customHeight="1" spans="1:13">
      <c r="A11" s="79" t="s">
        <v>148</v>
      </c>
      <c r="B11" s="59"/>
      <c r="C11" s="59"/>
      <c r="D11" s="59"/>
      <c r="E11" s="59"/>
      <c r="F11" s="59"/>
      <c r="G11" s="59"/>
      <c r="H11" s="59"/>
      <c r="I11" s="59"/>
      <c r="J11" s="59"/>
      <c r="K11" s="59"/>
      <c r="L11" s="59"/>
    </row>
    <row r="12" ht="28" customHeight="1"/>
    <row r="13" ht="28" customHeight="1"/>
    <row r="14" ht="28" customHeight="1"/>
    <row r="15" ht="28" customHeight="1"/>
    <row r="16" ht="28" customHeight="1"/>
    <row r="17" ht="28" customHeight="1"/>
    <row r="18" ht="28" customHeight="1"/>
    <row r="19" ht="28" customHeight="1"/>
  </sheetData>
  <mergeCells count="14">
    <mergeCell ref="A1:L1"/>
    <mergeCell ref="A2:L2"/>
    <mergeCell ref="H3:I3"/>
    <mergeCell ref="J3:K3"/>
    <mergeCell ref="A10:L10"/>
    <mergeCell ref="A11:L11"/>
    <mergeCell ref="A3:A4"/>
    <mergeCell ref="B3:B4"/>
    <mergeCell ref="C3:C4"/>
    <mergeCell ref="D3:D4"/>
    <mergeCell ref="E3:E4"/>
    <mergeCell ref="F3:F4"/>
    <mergeCell ref="G3:G4"/>
    <mergeCell ref="L3:L4"/>
  </mergeCells>
  <printOptions horizontalCentered="1"/>
  <pageMargins left="0" right="0" top="0" bottom="0" header="0" footer="0"/>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D16" sqref="D16"/>
    </sheetView>
  </sheetViews>
  <sheetFormatPr defaultColWidth="7.16666666666667" defaultRowHeight="11.25" outlineLevelCol="6"/>
  <cols>
    <col min="1" max="1" width="7.03333333333333" style="60" customWidth="1"/>
    <col min="2" max="2" width="3.73333333333333" style="60" customWidth="1"/>
    <col min="3" max="3" width="30.8916666666667" style="60" customWidth="1"/>
    <col min="4" max="4" width="17.225" style="60" customWidth="1"/>
    <col min="5" max="5" width="3.05" style="60" customWidth="1"/>
    <col min="6" max="6" width="11.5833333333333" style="60" customWidth="1"/>
    <col min="7" max="7" width="13.4166666666667" style="60" customWidth="1"/>
    <col min="8" max="16384" width="7.16666666666667" style="60"/>
  </cols>
  <sheetData>
    <row r="1" s="60" customFormat="1" ht="36" customHeight="1" spans="1:7">
      <c r="A1" s="61" t="s">
        <v>149</v>
      </c>
      <c r="B1" s="61"/>
      <c r="C1" s="61"/>
      <c r="D1" s="61"/>
      <c r="E1" s="61"/>
      <c r="F1" s="61"/>
      <c r="G1" s="61"/>
    </row>
    <row r="2" s="60" customFormat="1" ht="34" customHeight="1" spans="1:7">
      <c r="A2" s="62" t="s">
        <v>150</v>
      </c>
      <c r="B2" s="62"/>
      <c r="C2" s="62" t="s">
        <v>151</v>
      </c>
      <c r="D2" s="62"/>
      <c r="E2" s="62"/>
      <c r="F2" s="63" t="s">
        <v>152</v>
      </c>
      <c r="G2" s="63"/>
    </row>
    <row r="3" s="60" customFormat="1" ht="23" customHeight="1" spans="1:7">
      <c r="A3" s="64" t="s">
        <v>2</v>
      </c>
      <c r="B3" s="64" t="s">
        <v>153</v>
      </c>
      <c r="C3" s="64"/>
      <c r="D3" s="64" t="s">
        <v>154</v>
      </c>
      <c r="E3" s="64" t="s">
        <v>155</v>
      </c>
      <c r="F3" s="64"/>
      <c r="G3" s="64"/>
    </row>
    <row r="4" s="60" customFormat="1" ht="36" customHeight="1" spans="1:7">
      <c r="A4" s="64"/>
      <c r="B4" s="64"/>
      <c r="C4" s="64"/>
      <c r="D4" s="64"/>
      <c r="E4" s="64" t="s">
        <v>156</v>
      </c>
      <c r="F4" s="64"/>
      <c r="G4" s="64" t="s">
        <v>157</v>
      </c>
    </row>
    <row r="5" s="60" customFormat="1" ht="36" customHeight="1" spans="1:7">
      <c r="A5" s="65" t="s">
        <v>158</v>
      </c>
      <c r="B5" s="66" t="s">
        <v>151</v>
      </c>
      <c r="C5" s="66"/>
      <c r="D5" s="67" t="s">
        <v>158</v>
      </c>
      <c r="E5" s="67" t="s">
        <v>158</v>
      </c>
      <c r="F5" s="67"/>
      <c r="G5" s="67" t="s">
        <v>158</v>
      </c>
    </row>
    <row r="6" s="60" customFormat="1" ht="23" customHeight="1" spans="1:7">
      <c r="A6" s="65" t="s">
        <v>36</v>
      </c>
      <c r="B6" s="66" t="s">
        <v>159</v>
      </c>
      <c r="C6" s="66"/>
      <c r="D6" s="67" t="s">
        <v>158</v>
      </c>
      <c r="E6" s="67" t="s">
        <v>158</v>
      </c>
      <c r="F6" s="67"/>
      <c r="G6" s="67" t="s">
        <v>158</v>
      </c>
    </row>
    <row r="7" s="60" customFormat="1" ht="23" customHeight="1" spans="1:7">
      <c r="A7" s="65" t="s">
        <v>160</v>
      </c>
      <c r="B7" s="66" t="s">
        <v>161</v>
      </c>
      <c r="C7" s="66"/>
      <c r="D7" s="67" t="s">
        <v>162</v>
      </c>
      <c r="E7" s="67" t="s">
        <v>158</v>
      </c>
      <c r="F7" s="67"/>
      <c r="G7" s="67">
        <v>0</v>
      </c>
    </row>
    <row r="8" s="60" customFormat="1" ht="23" customHeight="1" spans="1:7">
      <c r="A8" s="65">
        <v>2</v>
      </c>
      <c r="B8" s="66" t="s">
        <v>163</v>
      </c>
      <c r="C8" s="66"/>
      <c r="D8" s="67" t="s">
        <v>164</v>
      </c>
      <c r="E8" s="67" t="s">
        <v>158</v>
      </c>
      <c r="F8" s="67"/>
      <c r="G8" s="67" t="s">
        <v>165</v>
      </c>
    </row>
    <row r="9" s="60" customFormat="1" ht="23" customHeight="1" spans="1:7">
      <c r="A9" s="65">
        <v>3</v>
      </c>
      <c r="B9" s="66" t="s">
        <v>166</v>
      </c>
      <c r="C9" s="66"/>
      <c r="D9" s="67">
        <v>921.14</v>
      </c>
      <c r="E9" s="68"/>
      <c r="F9" s="69"/>
      <c r="G9" s="67">
        <v>0</v>
      </c>
    </row>
    <row r="10" s="60" customFormat="1" ht="23" customHeight="1" spans="1:7">
      <c r="A10" s="65" t="s">
        <v>158</v>
      </c>
      <c r="B10" s="66" t="s">
        <v>167</v>
      </c>
      <c r="C10" s="66"/>
      <c r="D10" s="67">
        <f>D7+D8+D9</f>
        <v>286365.8</v>
      </c>
      <c r="E10" s="67" t="s">
        <v>158</v>
      </c>
      <c r="F10" s="67"/>
      <c r="G10" s="67">
        <f>G7+G8+G9</f>
        <v>19576.16</v>
      </c>
    </row>
    <row r="11" s="60" customFormat="1" ht="23" customHeight="1" spans="1:7">
      <c r="A11" s="65" t="s">
        <v>68</v>
      </c>
      <c r="B11" s="66" t="s">
        <v>168</v>
      </c>
      <c r="C11" s="66"/>
      <c r="D11" s="67" t="s">
        <v>158</v>
      </c>
      <c r="E11" s="67" t="s">
        <v>158</v>
      </c>
      <c r="F11" s="67"/>
      <c r="G11" s="67" t="s">
        <v>158</v>
      </c>
    </row>
    <row r="12" s="60" customFormat="1" ht="23" customHeight="1" spans="1:7">
      <c r="A12" s="65" t="s">
        <v>160</v>
      </c>
      <c r="B12" s="66" t="s">
        <v>169</v>
      </c>
      <c r="C12" s="66"/>
      <c r="D12" s="67" t="s">
        <v>170</v>
      </c>
      <c r="E12" s="67" t="s">
        <v>158</v>
      </c>
      <c r="F12" s="67"/>
      <c r="G12" s="67">
        <v>0</v>
      </c>
    </row>
    <row r="13" s="60" customFormat="1" ht="23" customHeight="1" spans="1:7">
      <c r="A13" s="65">
        <v>2</v>
      </c>
      <c r="B13" s="66" t="s">
        <v>171</v>
      </c>
      <c r="C13" s="66"/>
      <c r="D13" s="67" t="s">
        <v>172</v>
      </c>
      <c r="E13" s="67" t="s">
        <v>158</v>
      </c>
      <c r="F13" s="67"/>
      <c r="G13" s="67" t="s">
        <v>173</v>
      </c>
    </row>
    <row r="14" s="60" customFormat="1" ht="23" customHeight="1" spans="1:7">
      <c r="A14" s="65"/>
      <c r="B14" s="66" t="s">
        <v>174</v>
      </c>
      <c r="C14" s="66"/>
      <c r="D14" s="67">
        <v>701.11</v>
      </c>
      <c r="E14" s="68"/>
      <c r="F14" s="69"/>
      <c r="G14" s="67">
        <v>0</v>
      </c>
    </row>
    <row r="15" s="60" customFormat="1" ht="23" customHeight="1" spans="1:7">
      <c r="A15" s="65" t="s">
        <v>158</v>
      </c>
      <c r="B15" s="66" t="s">
        <v>167</v>
      </c>
      <c r="C15" s="66"/>
      <c r="D15" s="67">
        <f>D12+D13+D14</f>
        <v>194818.23</v>
      </c>
      <c r="E15" s="67" t="s">
        <v>158</v>
      </c>
      <c r="F15" s="67"/>
      <c r="G15" s="67">
        <f>G12+G13+G14</f>
        <v>7655.48</v>
      </c>
    </row>
    <row r="16" s="60" customFormat="1" ht="23" customHeight="1" spans="1:7">
      <c r="A16" s="65" t="s">
        <v>175</v>
      </c>
      <c r="B16" s="65"/>
      <c r="C16" s="65"/>
      <c r="D16" s="67">
        <f>D15+D10</f>
        <v>481184.03</v>
      </c>
      <c r="E16" s="67" t="s">
        <v>158</v>
      </c>
      <c r="F16" s="67"/>
      <c r="G16" s="67">
        <f>G15+G10</f>
        <v>27231.64</v>
      </c>
    </row>
    <row r="17" s="60" customFormat="1" ht="23" customHeight="1" spans="1:7">
      <c r="A17" s="70" t="s">
        <v>176</v>
      </c>
      <c r="B17" s="70"/>
      <c r="C17" s="70"/>
      <c r="D17" s="70"/>
      <c r="E17" s="70"/>
      <c r="F17" s="70"/>
      <c r="G17" s="70"/>
    </row>
  </sheetData>
  <mergeCells count="34">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A16:C16"/>
    <mergeCell ref="E16:F16"/>
    <mergeCell ref="A17:G17"/>
    <mergeCell ref="A3:A4"/>
    <mergeCell ref="D3:D4"/>
    <mergeCell ref="B3:C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outlinePr summaryBelow="0" summaryRight="0"/>
  </sheetPr>
  <dimension ref="A1:K20"/>
  <sheetViews>
    <sheetView view="pageBreakPreview" zoomScaleNormal="100" topLeftCell="B5" workbookViewId="0">
      <selection activeCell="C5" sqref="C5:C6"/>
    </sheetView>
  </sheetViews>
  <sheetFormatPr defaultColWidth="8.89166666666667" defaultRowHeight="13.5"/>
  <cols>
    <col min="1" max="1" width="6" style="14" customWidth="1"/>
    <col min="2" max="2" width="14.225" style="14" customWidth="1"/>
    <col min="3" max="3" width="150.875" style="14" customWidth="1" outlineLevel="1"/>
    <col min="4" max="4" width="22.2083333333333" style="14" customWidth="1"/>
    <col min="5" max="5" width="5.50833333333333" style="14" customWidth="1"/>
    <col min="6" max="6" width="9.88333333333333" style="14" customWidth="1"/>
    <col min="7" max="7" width="20.7583333333333" style="15" customWidth="1"/>
    <col min="8" max="8" width="10.4416666666667" style="15" customWidth="1"/>
    <col min="9" max="9" width="12.1333333333333" style="15" customWidth="1"/>
    <col min="10" max="10" width="8" style="14" customWidth="1"/>
    <col min="11" max="11" width="28.3833333333333" style="13" customWidth="1"/>
    <col min="12" max="16384" width="8.89166666666667" style="13"/>
  </cols>
  <sheetData>
    <row r="1" s="9" customFormat="1" ht="28" customHeight="1" spans="1:11">
      <c r="A1" s="16" t="s">
        <v>177</v>
      </c>
      <c r="B1" s="16"/>
      <c r="C1" s="16"/>
      <c r="D1" s="16"/>
      <c r="E1" s="16"/>
      <c r="F1" s="16"/>
      <c r="G1" s="17"/>
      <c r="H1" s="17"/>
      <c r="I1" s="17"/>
      <c r="J1" s="16"/>
    </row>
    <row r="2" s="10" customFormat="1" ht="24" customHeight="1" spans="1:11">
      <c r="A2" s="18" t="s">
        <v>178</v>
      </c>
      <c r="B2" s="19"/>
      <c r="C2" s="20"/>
      <c r="D2" s="20"/>
      <c r="E2" s="20"/>
      <c r="F2" s="20"/>
      <c r="G2" s="21"/>
      <c r="H2" s="22"/>
      <c r="I2" s="22"/>
      <c r="J2" s="20"/>
    </row>
    <row r="3" s="11" customFormat="1" ht="24" customHeight="1" spans="1:11">
      <c r="A3" s="23" t="s">
        <v>2</v>
      </c>
      <c r="B3" s="23" t="s">
        <v>3</v>
      </c>
      <c r="C3" s="23" t="s">
        <v>117</v>
      </c>
      <c r="D3" s="24" t="s">
        <v>5</v>
      </c>
      <c r="E3" s="23" t="s">
        <v>6</v>
      </c>
      <c r="F3" s="25" t="s">
        <v>118</v>
      </c>
      <c r="G3" s="26" t="s">
        <v>179</v>
      </c>
      <c r="H3" s="27" t="s">
        <v>120</v>
      </c>
      <c r="I3" s="27"/>
      <c r="J3" s="23" t="s">
        <v>35</v>
      </c>
    </row>
    <row r="4" s="11" customFormat="1" ht="62" customHeight="1" spans="1:11">
      <c r="A4" s="23"/>
      <c r="B4" s="23"/>
      <c r="C4" s="23"/>
      <c r="D4" s="24"/>
      <c r="E4" s="23"/>
      <c r="F4" s="28"/>
      <c r="G4" s="29"/>
      <c r="H4" s="27" t="s">
        <v>121</v>
      </c>
      <c r="I4" s="27" t="s">
        <v>33</v>
      </c>
      <c r="J4" s="23"/>
    </row>
    <row r="5" s="10" customFormat="1" ht="271" customHeight="1" spans="1:11">
      <c r="A5" s="30">
        <v>1</v>
      </c>
      <c r="B5" s="31" t="s">
        <v>180</v>
      </c>
      <c r="C5" s="32" t="s">
        <v>181</v>
      </c>
      <c r="D5" s="33" t="s">
        <v>182</v>
      </c>
      <c r="E5" s="31" t="s">
        <v>125</v>
      </c>
      <c r="F5" s="31">
        <v>1</v>
      </c>
      <c r="G5" s="34">
        <v>731284.403669725</v>
      </c>
      <c r="H5" s="35">
        <v>0.1</v>
      </c>
      <c r="I5" s="34">
        <f>G5*(1-H5)</f>
        <v>658155.963302753</v>
      </c>
      <c r="J5" s="30" t="s">
        <v>135</v>
      </c>
    </row>
    <row r="6" s="10" customFormat="1" ht="189" customHeight="1" spans="1:11">
      <c r="A6" s="36"/>
      <c r="B6" s="37"/>
      <c r="C6" s="38"/>
      <c r="D6" s="39"/>
      <c r="E6" s="37"/>
      <c r="F6" s="37"/>
      <c r="G6" s="40"/>
      <c r="H6" s="35"/>
      <c r="I6" s="40"/>
      <c r="J6" s="36"/>
    </row>
    <row r="7" s="12" customFormat="1" ht="285" customHeight="1" spans="1:11">
      <c r="A7" s="41">
        <v>2</v>
      </c>
      <c r="B7" s="42" t="s">
        <v>183</v>
      </c>
      <c r="C7" s="43" t="s">
        <v>184</v>
      </c>
      <c r="D7" s="44" t="s">
        <v>185</v>
      </c>
      <c r="E7" s="42" t="s">
        <v>47</v>
      </c>
      <c r="F7" s="42">
        <v>2391.6</v>
      </c>
      <c r="G7" s="45">
        <v>10</v>
      </c>
      <c r="H7" s="46" t="s">
        <v>186</v>
      </c>
      <c r="I7" s="45">
        <f>F7*G7</f>
        <v>23916</v>
      </c>
      <c r="J7" s="42" t="s">
        <v>187</v>
      </c>
      <c r="K7" s="12">
        <f>I7*1.09</f>
        <v>26068.44</v>
      </c>
    </row>
    <row r="8" s="12" customFormat="1" ht="29" customHeight="1" spans="1:11">
      <c r="A8" s="47">
        <v>3</v>
      </c>
      <c r="B8" s="48" t="s">
        <v>65</v>
      </c>
      <c r="C8" s="49"/>
      <c r="D8" s="50"/>
      <c r="E8" s="48"/>
      <c r="F8" s="48"/>
      <c r="G8" s="51"/>
      <c r="H8" s="51"/>
      <c r="I8" s="51">
        <f>SUM(I5:I7)</f>
        <v>682071.963302753</v>
      </c>
      <c r="J8" s="48"/>
    </row>
    <row r="9" s="12" customFormat="1" ht="29" customHeight="1" spans="1:11">
      <c r="A9" s="52">
        <v>4</v>
      </c>
      <c r="B9" s="48" t="s">
        <v>66</v>
      </c>
      <c r="C9" s="49"/>
      <c r="D9" s="50"/>
      <c r="E9" s="48"/>
      <c r="F9" s="48"/>
      <c r="G9" s="53"/>
      <c r="H9" s="54">
        <v>0.09</v>
      </c>
      <c r="I9" s="51">
        <f>I8*H9</f>
        <v>61386.4766972477</v>
      </c>
      <c r="J9" s="48"/>
      <c r="K9" s="55"/>
    </row>
    <row r="10" s="12" customFormat="1" ht="29" customHeight="1" spans="1:11">
      <c r="A10" s="47">
        <v>5</v>
      </c>
      <c r="B10" s="48" t="s">
        <v>67</v>
      </c>
      <c r="C10" s="49"/>
      <c r="D10" s="50"/>
      <c r="E10" s="48"/>
      <c r="F10" s="48"/>
      <c r="G10" s="51"/>
      <c r="H10" s="51"/>
      <c r="I10" s="51">
        <f>I8+I9</f>
        <v>743458.44</v>
      </c>
      <c r="J10" s="48"/>
    </row>
    <row r="11" s="10" customFormat="1" ht="132" customHeight="1" spans="1:11">
      <c r="A11" s="56" t="s">
        <v>126</v>
      </c>
      <c r="B11" s="57"/>
      <c r="C11" s="58"/>
      <c r="D11" s="58"/>
      <c r="E11" s="58"/>
      <c r="F11" s="58"/>
      <c r="G11" s="58"/>
      <c r="H11" s="57"/>
      <c r="I11" s="57"/>
      <c r="J11" s="58"/>
    </row>
    <row r="12" s="13" customFormat="1" ht="45" customHeight="1" spans="1:11">
      <c r="A12" s="59" t="s">
        <v>127</v>
      </c>
      <c r="B12" s="59"/>
      <c r="C12" s="59"/>
      <c r="D12" s="59"/>
      <c r="E12" s="59"/>
      <c r="F12" s="59"/>
      <c r="G12" s="59"/>
      <c r="H12" s="59"/>
      <c r="I12" s="59"/>
      <c r="J12" s="59"/>
    </row>
    <row r="13" ht="28" customHeight="1"/>
    <row r="14" ht="28" customHeight="1"/>
    <row r="15" ht="28" customHeight="1"/>
    <row r="16" ht="28" customHeight="1"/>
    <row r="17" ht="28" customHeight="1"/>
    <row r="18" ht="28" customHeight="1"/>
    <row r="19" ht="28" customHeight="1"/>
    <row r="20" ht="28" customHeight="1"/>
  </sheetData>
  <mergeCells count="23">
    <mergeCell ref="A1:J1"/>
    <mergeCell ref="A2:J2"/>
    <mergeCell ref="H3:I3"/>
    <mergeCell ref="A11:J11"/>
    <mergeCell ref="A12:J12"/>
    <mergeCell ref="A3:A4"/>
    <mergeCell ref="A5:A6"/>
    <mergeCell ref="B3:B4"/>
    <mergeCell ref="B5:B6"/>
    <mergeCell ref="C3:C4"/>
    <mergeCell ref="C5:C6"/>
    <mergeCell ref="D3:D4"/>
    <mergeCell ref="D5:D6"/>
    <mergeCell ref="E3:E4"/>
    <mergeCell ref="E5:E6"/>
    <mergeCell ref="F3:F4"/>
    <mergeCell ref="F5:F6"/>
    <mergeCell ref="G3:G4"/>
    <mergeCell ref="G5:G6"/>
    <mergeCell ref="H5:H6"/>
    <mergeCell ref="I5:I6"/>
    <mergeCell ref="J3:J4"/>
    <mergeCell ref="J5:J6"/>
  </mergeCells>
  <printOptions horizontalCentered="1"/>
  <pageMargins left="0" right="0" top="0" bottom="0" header="0" footer="0"/>
  <pageSetup paperSize="9" scale="51"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6:I18"/>
  <sheetViews>
    <sheetView workbookViewId="0">
      <selection activeCell="C5" sqref="C5:C6"/>
    </sheetView>
  </sheetViews>
  <sheetFormatPr defaultColWidth="8.725" defaultRowHeight="13.5"/>
  <cols>
    <col min="4" max="4" width="33.45" customWidth="1"/>
    <col min="5" max="5" width="14.6333333333333" customWidth="1"/>
    <col min="6" max="6" width="37.8166666666667" customWidth="1"/>
    <col min="7" max="7" width="15.55" customWidth="1"/>
    <col min="9" max="9" width="12.0916666666667" customWidth="1"/>
  </cols>
  <sheetData>
    <row r="6" spans="4:9">
      <c r="D6" t="s">
        <v>188</v>
      </c>
      <c r="E6" s="1">
        <f>420318.36/1.09</f>
        <v>385613.174311927</v>
      </c>
    </row>
    <row r="7" spans="4:9">
      <c r="D7" t="s">
        <v>189</v>
      </c>
      <c r="E7" s="1">
        <f>345537.78/1.09</f>
        <v>317007.137614679</v>
      </c>
      <c r="G7" t="s">
        <v>190</v>
      </c>
      <c r="I7" t="s">
        <v>191</v>
      </c>
    </row>
    <row r="8" spans="4:9">
      <c r="D8" s="2" t="s">
        <v>192</v>
      </c>
      <c r="E8" s="3">
        <v>1313868.22</v>
      </c>
      <c r="F8" s="2" t="s">
        <v>193</v>
      </c>
      <c r="G8" s="4">
        <v>19322.03</v>
      </c>
      <c r="I8" s="5">
        <f>(G8+1102.13+126.55+308.12)</f>
        <v>20858.83</v>
      </c>
    </row>
    <row r="9" spans="4:9">
      <c r="D9" s="2" t="s">
        <v>194</v>
      </c>
      <c r="E9" s="3">
        <v>118641.2</v>
      </c>
    </row>
    <row r="10" spans="4:9">
      <c r="D10" s="2" t="s">
        <v>195</v>
      </c>
      <c r="E10" s="3">
        <v>236308.14</v>
      </c>
    </row>
    <row r="11" spans="4:9">
      <c r="D11" t="s">
        <v>196</v>
      </c>
      <c r="E11" s="6">
        <v>1182521.18</v>
      </c>
    </row>
    <row r="12" spans="4:9">
      <c r="D12" s="2" t="s">
        <v>197</v>
      </c>
      <c r="E12" s="3">
        <v>634045.67</v>
      </c>
    </row>
    <row r="14" spans="4:9">
      <c r="D14" t="s">
        <v>198</v>
      </c>
      <c r="E14" s="2">
        <f>E8+E10+E9+E12-I8</f>
        <v>2282004.4</v>
      </c>
    </row>
    <row r="16" spans="4:9">
      <c r="D16" t="s">
        <v>199</v>
      </c>
      <c r="E16" s="7">
        <f>E6+E7+I8</f>
        <v>723479.141926605</v>
      </c>
    </row>
    <row r="18" spans="4:5">
      <c r="D18" t="s">
        <v>196</v>
      </c>
      <c r="E18" s="8">
        <f>E11</f>
        <v>1182521.18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主体</vt:lpstr>
      <vt:lpstr>室外工程及消防工程</vt:lpstr>
      <vt:lpstr>电气及给排水、暖通专业分包工程</vt:lpstr>
      <vt:lpstr>机电安装专业分包工程</vt:lpstr>
      <vt:lpstr>Sheet1</vt:lpstr>
      <vt:lpstr>高压电缆进线工程</vt:lpstr>
      <vt:lpstr>计算式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Double</cp:lastModifiedBy>
  <dcterms:created xsi:type="dcterms:W3CDTF">2022-04-26T07:49:00Z</dcterms:created>
  <dcterms:modified xsi:type="dcterms:W3CDTF">2026-09-18T08:18:11Z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A97179E5D02545B5A5C48D36335EBC6D_13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